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enovo\Desktop\Book Form_FA 2023-24_01.08.24\"/>
    </mc:Choice>
  </mc:AlternateContent>
  <xr:revisionPtr revIDLastSave="0" documentId="13_ncr:1_{474B42DE-03BB-44BF-A2FD-7F334B3A6776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TT8" sheetId="6" r:id="rId1"/>
    <sheet name="Exclusion" sheetId="7" r:id="rId2"/>
    <sheet name="Sheet2" sheetId="8" r:id="rId3"/>
    <sheet name="Working Sheet" sheetId="9" r:id="rId4"/>
    <sheet name="Invt details" sheetId="10" r:id="rId5"/>
    <sheet name="CO OP" sheetId="11" r:id="rId6"/>
    <sheet name="CO OP consolidated" sheetId="13" r:id="rId7"/>
    <sheet name="Dividend" sheetId="19" r:id="rId8"/>
    <sheet name="Proforma_ Coop" sheetId="15" r:id="rId9"/>
    <sheet name="Proforma" sheetId="16" r:id="rId10"/>
    <sheet name="Sheet3" sheetId="18" r:id="rId11"/>
  </sheets>
  <definedNames>
    <definedName name="\C">#REF!</definedName>
    <definedName name="\E">#REF!</definedName>
    <definedName name="\H">#REF!</definedName>
    <definedName name="\L">#REF!</definedName>
    <definedName name="\M">#REF!</definedName>
    <definedName name="\N">#REF!</definedName>
    <definedName name="\R">#REF!</definedName>
    <definedName name="\S">#REF!</definedName>
    <definedName name="__123Graph_A" hidden="1">#REF!</definedName>
    <definedName name="__123Graph_B" hidden="1">#REF!</definedName>
    <definedName name="__123Graph_C" hidden="1">#REF!</definedName>
    <definedName name="__123Graph_D" hidden="1">#REF!</definedName>
    <definedName name="__123Graph_E" hidden="1">#REF!</definedName>
    <definedName name="__123Graph_F" hidden="1">#REF!</definedName>
    <definedName name="__123Graph_X" hidden="1">#REF!</definedName>
    <definedName name="_xlnm._FilterDatabase" localSheetId="4" hidden="1">'Invt details'!$I$1:$I$35</definedName>
    <definedName name="COPY">#REF!</definedName>
    <definedName name="MOVE2">#REF!</definedName>
    <definedName name="_xlnm.Print_Area" localSheetId="1">Exclusion!$A$1:$D$30</definedName>
    <definedName name="_xlnm.Print_Area" localSheetId="2">Sheet2!$C$1:$R$50</definedName>
    <definedName name="_xlnm.Print_Area" localSheetId="0">'STT8'!$A$1:$O$32</definedName>
    <definedName name="_xlnm.Print_Area" localSheetId="3">'Working Sheet'!$A$1:$F$136</definedName>
    <definedName name="_xlnm.Print_Titles" localSheetId="4">'Invt details'!$1:$1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8" l="1"/>
  <c r="O12" i="18"/>
  <c r="O11" i="18"/>
  <c r="O10" i="18"/>
  <c r="O5" i="18"/>
  <c r="O4" i="18"/>
  <c r="O3" i="18"/>
  <c r="O14" i="18" s="1"/>
  <c r="F15" i="6" l="1"/>
  <c r="F13" i="6"/>
  <c r="C8" i="19"/>
  <c r="D4" i="19"/>
  <c r="G15" i="6" s="1"/>
  <c r="D5" i="19"/>
  <c r="D6" i="19"/>
  <c r="D8" i="19"/>
  <c r="D3" i="19"/>
  <c r="C4" i="19"/>
  <c r="C6" i="19"/>
  <c r="C7" i="19"/>
  <c r="C3" i="19"/>
  <c r="F3" i="15"/>
  <c r="B7" i="19"/>
  <c r="F17" i="6" s="1"/>
  <c r="D7" i="19" l="1"/>
  <c r="G17" i="6" s="1"/>
  <c r="B9" i="19"/>
  <c r="C119" i="9"/>
  <c r="C100" i="9"/>
  <c r="N17" i="6"/>
  <c r="N15" i="6"/>
  <c r="E22" i="9"/>
  <c r="C102" i="9"/>
  <c r="D5" i="7"/>
  <c r="D6" i="7"/>
  <c r="D7" i="7"/>
  <c r="D9" i="7"/>
  <c r="D10" i="7"/>
  <c r="D11" i="7"/>
  <c r="D13" i="7"/>
  <c r="D14" i="7"/>
  <c r="D15" i="7"/>
  <c r="D16" i="7"/>
  <c r="D18" i="7"/>
  <c r="D19" i="7"/>
  <c r="D20" i="7"/>
  <c r="D21" i="7"/>
  <c r="D22" i="7"/>
  <c r="D23" i="7"/>
  <c r="D24" i="7"/>
  <c r="D25" i="7"/>
  <c r="D26" i="7"/>
  <c r="D27" i="7"/>
  <c r="D28" i="7"/>
  <c r="C17" i="7"/>
  <c r="D17" i="7" s="1"/>
  <c r="C8" i="7"/>
  <c r="D8" i="7" s="1"/>
  <c r="C4" i="7"/>
  <c r="D4" i="7" s="1"/>
  <c r="B29" i="7"/>
  <c r="F68" i="9"/>
  <c r="K23" i="11"/>
  <c r="K16" i="11"/>
  <c r="M11" i="11"/>
  <c r="M10" i="11"/>
  <c r="M9" i="11"/>
  <c r="M8" i="11"/>
  <c r="M3" i="11"/>
  <c r="M2" i="11"/>
  <c r="M1" i="11"/>
  <c r="E50" i="9"/>
  <c r="F50" i="9"/>
  <c r="E51" i="9"/>
  <c r="F51" i="9"/>
  <c r="E52" i="9"/>
  <c r="F52" i="9"/>
  <c r="E27" i="9"/>
  <c r="F27" i="9"/>
  <c r="E36" i="9"/>
  <c r="F36" i="9"/>
  <c r="I41" i="10"/>
  <c r="F41" i="9"/>
  <c r="E41" i="9"/>
  <c r="D100" i="9" l="1"/>
  <c r="J13" i="6"/>
  <c r="K13" i="6" s="1"/>
  <c r="D9" i="19"/>
  <c r="C9" i="19"/>
  <c r="R20" i="8"/>
  <c r="R19" i="8"/>
  <c r="R13" i="8"/>
  <c r="R12" i="8"/>
  <c r="R6" i="8"/>
  <c r="R5" i="8"/>
  <c r="O27" i="8" s="1"/>
  <c r="R3" i="8"/>
  <c r="R2" i="8"/>
  <c r="I39" i="8"/>
  <c r="O44" i="8" s="1"/>
  <c r="I38" i="8"/>
  <c r="O43" i="8" s="1"/>
  <c r="I37" i="8"/>
  <c r="O42" i="8" s="1"/>
  <c r="I35" i="8"/>
  <c r="O40" i="8" s="1"/>
  <c r="I33" i="8"/>
  <c r="O39" i="8" s="1"/>
  <c r="I31" i="8"/>
  <c r="O38" i="8" s="1"/>
  <c r="I30" i="8"/>
  <c r="O37" i="8" s="1"/>
  <c r="I26" i="8"/>
  <c r="O36" i="8" s="1"/>
  <c r="I24" i="8"/>
  <c r="O35" i="8" s="1"/>
  <c r="I21" i="8"/>
  <c r="O34" i="8" s="1"/>
  <c r="I20" i="8"/>
  <c r="I19" i="8"/>
  <c r="O30" i="8" s="1"/>
  <c r="I18" i="8"/>
  <c r="O29" i="8" s="1"/>
  <c r="I17" i="8"/>
  <c r="O26" i="8" s="1"/>
  <c r="I16" i="8"/>
  <c r="O25" i="8" s="1"/>
  <c r="I15" i="8"/>
  <c r="O24" i="8" s="1"/>
  <c r="I13" i="8"/>
  <c r="I11" i="8"/>
  <c r="O22" i="8" s="1"/>
  <c r="I6" i="8"/>
  <c r="O21" i="8" s="1"/>
  <c r="I4" i="8"/>
  <c r="O20" i="8" s="1"/>
  <c r="I3" i="8"/>
  <c r="O19" i="8" s="1"/>
  <c r="I2" i="8"/>
  <c r="O18" i="8" s="1"/>
  <c r="H41" i="8"/>
  <c r="B4" i="16"/>
  <c r="O31" i="8" l="1"/>
  <c r="I41" i="8"/>
  <c r="R15" i="8"/>
  <c r="O23" i="8"/>
  <c r="C12" i="7"/>
  <c r="C29" i="7" l="1"/>
  <c r="D12" i="7"/>
  <c r="D29" i="7" s="1"/>
  <c r="E113" i="9" l="1"/>
  <c r="J17" i="6"/>
  <c r="K17" i="6" s="1"/>
  <c r="J15" i="6"/>
  <c r="K15" i="6" s="1"/>
  <c r="J11" i="6"/>
  <c r="K11" i="6" s="1"/>
  <c r="F8" i="15"/>
  <c r="E5" i="15"/>
  <c r="F75" i="9" l="1"/>
  <c r="F80" i="9"/>
  <c r="E77" i="9"/>
  <c r="E5" i="9"/>
  <c r="F12" i="9"/>
  <c r="F13" i="9"/>
  <c r="F15" i="9"/>
  <c r="F16" i="9"/>
  <c r="F17" i="9"/>
  <c r="F18" i="9"/>
  <c r="F26" i="9"/>
  <c r="F28" i="9"/>
  <c r="C88" i="9" l="1"/>
  <c r="D88" i="9" l="1"/>
  <c r="C91" i="9"/>
  <c r="D86" i="9"/>
  <c r="E86" i="9" s="1"/>
  <c r="E25" i="9"/>
  <c r="F25" i="9"/>
  <c r="E88" i="9" l="1"/>
  <c r="E91" i="9" s="1"/>
  <c r="D91" i="9"/>
  <c r="C125" i="9"/>
  <c r="E119" i="9"/>
  <c r="D119" i="9"/>
  <c r="D113" i="9"/>
  <c r="D109" i="9"/>
  <c r="E109" i="9" s="1"/>
  <c r="E107" i="9"/>
  <c r="D107" i="9"/>
  <c r="E100" i="9"/>
  <c r="D96" i="9"/>
  <c r="E96" i="9" s="1"/>
  <c r="D94" i="9"/>
  <c r="E94" i="9" s="1"/>
  <c r="D85" i="9"/>
  <c r="D81" i="9"/>
  <c r="C81" i="9"/>
  <c r="E80" i="9"/>
  <c r="F79" i="9"/>
  <c r="E79" i="9"/>
  <c r="F78" i="9"/>
  <c r="E78" i="9"/>
  <c r="F77" i="9"/>
  <c r="F76" i="9"/>
  <c r="E76" i="9"/>
  <c r="E75" i="9"/>
  <c r="D72" i="9"/>
  <c r="C114" i="9" s="1"/>
  <c r="F71" i="9"/>
  <c r="E71" i="9"/>
  <c r="F70" i="9"/>
  <c r="E70" i="9"/>
  <c r="F69" i="9"/>
  <c r="E69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D56" i="9"/>
  <c r="F49" i="9"/>
  <c r="E49" i="9"/>
  <c r="F48" i="9"/>
  <c r="E48" i="9"/>
  <c r="F47" i="9"/>
  <c r="E47" i="9"/>
  <c r="D43" i="9"/>
  <c r="C108" i="9" s="1"/>
  <c r="D37" i="9"/>
  <c r="C101" i="9" s="1"/>
  <c r="F35" i="9"/>
  <c r="E35" i="9"/>
  <c r="F34" i="9"/>
  <c r="E34" i="9"/>
  <c r="F53" i="9"/>
  <c r="E53" i="9"/>
  <c r="F33" i="9"/>
  <c r="E33" i="9"/>
  <c r="F32" i="9"/>
  <c r="E32" i="9"/>
  <c r="F31" i="9"/>
  <c r="E31" i="9"/>
  <c r="F30" i="9"/>
  <c r="E30" i="9"/>
  <c r="F29" i="9"/>
  <c r="E29" i="9"/>
  <c r="E28" i="9"/>
  <c r="E26" i="9"/>
  <c r="F24" i="9"/>
  <c r="E24" i="9"/>
  <c r="F23" i="9"/>
  <c r="E23" i="9"/>
  <c r="F22" i="9"/>
  <c r="F21" i="9"/>
  <c r="E21" i="9"/>
  <c r="F20" i="9"/>
  <c r="E20" i="9"/>
  <c r="F19" i="9"/>
  <c r="E19" i="9"/>
  <c r="E18" i="9"/>
  <c r="E17" i="9"/>
  <c r="E16" i="9"/>
  <c r="E15" i="9"/>
  <c r="F14" i="9"/>
  <c r="E14" i="9"/>
  <c r="E13" i="9"/>
  <c r="E12" i="9"/>
  <c r="F11" i="9"/>
  <c r="E11" i="9"/>
  <c r="F10" i="9"/>
  <c r="E10" i="9"/>
  <c r="D7" i="9"/>
  <c r="C95" i="9" s="1"/>
  <c r="C97" i="9" s="1"/>
  <c r="F5" i="9"/>
  <c r="F4" i="9"/>
  <c r="E4" i="9"/>
  <c r="F3" i="9"/>
  <c r="E3" i="9"/>
  <c r="C115" i="9" l="1"/>
  <c r="D115" i="9" s="1"/>
  <c r="E115" i="9" s="1"/>
  <c r="C103" i="9"/>
  <c r="C13" i="6" s="1"/>
  <c r="C110" i="9"/>
  <c r="E43" i="9"/>
  <c r="D108" i="9" s="1"/>
  <c r="D110" i="9" s="1"/>
  <c r="F81" i="9"/>
  <c r="E56" i="9"/>
  <c r="F56" i="9"/>
  <c r="F7" i="9"/>
  <c r="E95" i="9" s="1"/>
  <c r="E97" i="9" s="1"/>
  <c r="F43" i="9"/>
  <c r="E108" i="9" s="1"/>
  <c r="E110" i="9" s="1"/>
  <c r="E7" i="9"/>
  <c r="D95" i="9" s="1"/>
  <c r="D97" i="9" s="1"/>
  <c r="E72" i="9"/>
  <c r="E81" i="9"/>
  <c r="F72" i="9"/>
  <c r="E85" i="9"/>
  <c r="C127" i="9"/>
  <c r="E37" i="9"/>
  <c r="F37" i="9"/>
  <c r="E101" i="9" s="1"/>
  <c r="C126" i="9"/>
  <c r="C120" i="9"/>
  <c r="E120" i="9" s="1"/>
  <c r="C11" i="6"/>
  <c r="C116" i="9"/>
  <c r="C17" i="6" s="1"/>
  <c r="E114" i="9"/>
  <c r="D114" i="9"/>
  <c r="E125" i="9"/>
  <c r="D125" i="9"/>
  <c r="D57" i="9"/>
  <c r="D102" i="9"/>
  <c r="E102" i="9" s="1"/>
  <c r="E116" i="9" l="1"/>
  <c r="E127" i="9"/>
  <c r="C121" i="9"/>
  <c r="E121" i="9" s="1"/>
  <c r="C15" i="6"/>
  <c r="L110" i="9"/>
  <c r="C128" i="9"/>
  <c r="E126" i="9"/>
  <c r="E57" i="9"/>
  <c r="D101" i="9"/>
  <c r="D103" i="9" s="1"/>
  <c r="F57" i="9"/>
  <c r="D116" i="9"/>
  <c r="E103" i="9"/>
  <c r="E128" i="9" s="1"/>
  <c r="C132" i="9"/>
  <c r="C122" i="9"/>
  <c r="C134" i="9" s="1"/>
  <c r="D127" i="9"/>
  <c r="C133" i="9"/>
  <c r="D121" i="9" l="1"/>
  <c r="E122" i="9" s="1"/>
  <c r="D120" i="9"/>
  <c r="D126" i="9"/>
  <c r="D128" i="9" s="1"/>
  <c r="E132" i="9"/>
  <c r="D132" i="9"/>
  <c r="D133" i="9"/>
  <c r="E133" i="9"/>
  <c r="D122" i="9" l="1"/>
  <c r="D134" i="9"/>
  <c r="E134" i="9"/>
  <c r="Q15" i="8"/>
  <c r="R18" i="8" s="1"/>
  <c r="R21" i="8" s="1"/>
  <c r="C14" i="13" l="1"/>
  <c r="J27" i="11"/>
  <c r="B1" i="11" s="1"/>
  <c r="D15" i="6" l="1"/>
  <c r="E8" i="15"/>
  <c r="F7" i="15"/>
  <c r="E7" i="15"/>
  <c r="F6" i="15"/>
  <c r="E6" i="15"/>
  <c r="F5" i="15"/>
  <c r="F4" i="15"/>
  <c r="E4" i="15"/>
  <c r="E3" i="15"/>
  <c r="J33" i="6"/>
  <c r="N9" i="11"/>
  <c r="O9" i="11" s="1"/>
  <c r="N11" i="11"/>
  <c r="O11" i="11" s="1"/>
  <c r="N2" i="11"/>
  <c r="O2" i="11" s="1"/>
  <c r="D9" i="15"/>
  <c r="D13" i="13"/>
  <c r="E13" i="13" s="1"/>
  <c r="D12" i="13"/>
  <c r="E12" i="13" s="1"/>
  <c r="D11" i="13"/>
  <c r="E11" i="13" s="1"/>
  <c r="D10" i="13"/>
  <c r="E10" i="13" s="1"/>
  <c r="D9" i="13"/>
  <c r="E9" i="13" s="1"/>
  <c r="D8" i="13"/>
  <c r="E8" i="13" s="1"/>
  <c r="D7" i="13"/>
  <c r="E7" i="13" s="1"/>
  <c r="D6" i="13"/>
  <c r="E6" i="13" s="1"/>
  <c r="D5" i="13"/>
  <c r="E5" i="13" s="1"/>
  <c r="D4" i="13"/>
  <c r="E4" i="13" s="1"/>
  <c r="D3" i="13"/>
  <c r="E3" i="13" s="1"/>
  <c r="N3" i="11"/>
  <c r="O3" i="11" s="1"/>
  <c r="N4" i="11"/>
  <c r="O4" i="11" s="1"/>
  <c r="N5" i="11"/>
  <c r="O5" i="11" s="1"/>
  <c r="N6" i="11"/>
  <c r="O6" i="11" s="1"/>
  <c r="N7" i="11"/>
  <c r="O7" i="11" s="1"/>
  <c r="N8" i="11"/>
  <c r="O8" i="11" s="1"/>
  <c r="N10" i="11"/>
  <c r="O10" i="11" s="1"/>
  <c r="B4" i="11"/>
  <c r="N19" i="6"/>
  <c r="B19" i="6"/>
  <c r="I19" i="6"/>
  <c r="M19" i="6"/>
  <c r="E9" i="15" l="1"/>
  <c r="D11" i="6"/>
  <c r="E14" i="13"/>
  <c r="M12" i="11"/>
  <c r="N1" i="11"/>
  <c r="F9" i="15"/>
  <c r="D14" i="13"/>
  <c r="O45" i="8" l="1"/>
  <c r="D17" i="6"/>
  <c r="F19" i="6"/>
  <c r="G19" i="6"/>
  <c r="K19" i="6"/>
  <c r="N12" i="11"/>
  <c r="O1" i="11"/>
  <c r="O12" i="11" s="1"/>
  <c r="O49" i="8" l="1"/>
  <c r="D13" i="6"/>
  <c r="D19" i="6" s="1"/>
  <c r="C19" i="6"/>
  <c r="J19" i="6" l="1"/>
</calcChain>
</file>

<file path=xl/sharedStrings.xml><?xml version="1.0" encoding="utf-8"?>
<sst xmlns="http://schemas.openxmlformats.org/spreadsheetml/2006/main" count="1145" uniqueCount="274">
  <si>
    <r>
      <t xml:space="preserve">Co-operative Banks and Societies  </t>
    </r>
    <r>
      <rPr>
        <b/>
        <sz val="12"/>
        <rFont val="Times New Roman"/>
        <family val="1"/>
      </rPr>
      <t>(*)</t>
    </r>
  </si>
  <si>
    <t>Statutory Corporations</t>
  </si>
  <si>
    <t>received during</t>
  </si>
  <si>
    <t xml:space="preserve">Name of the </t>
  </si>
  <si>
    <t>Concern</t>
  </si>
  <si>
    <t>of the year</t>
  </si>
  <si>
    <t>Dividend/Interest</t>
  </si>
  <si>
    <t xml:space="preserve">Number </t>
  </si>
  <si>
    <t>of</t>
  </si>
  <si>
    <t>concerns</t>
  </si>
  <si>
    <t>Investment</t>
  </si>
  <si>
    <t>Total</t>
  </si>
  <si>
    <t>Other Joint Stock Companies</t>
  </si>
  <si>
    <t>Government Companies</t>
  </si>
  <si>
    <t>at the end</t>
  </si>
  <si>
    <t>8. STATEMENT OF INVESTMENTS OF THE GOVERNMENT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</si>
  <si>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'(</t>
    </r>
    <r>
      <rPr>
        <i/>
        <sz val="10"/>
        <rFont val="Rupee Foradian"/>
        <family val="2"/>
      </rPr>
      <t>`</t>
    </r>
    <r>
      <rPr>
        <i/>
        <sz val="10"/>
        <rFont val="Times New Roman"/>
        <family val="1"/>
      </rPr>
      <t xml:space="preserve"> in crore)</t>
    </r>
  </si>
  <si>
    <t>(a)</t>
  </si>
  <si>
    <t>EXCLUSION</t>
  </si>
  <si>
    <t>Item</t>
  </si>
  <si>
    <t>Amount</t>
  </si>
  <si>
    <t>STATUTORY CORP INVST</t>
  </si>
  <si>
    <t>Kerala State Film Development Corporation</t>
  </si>
  <si>
    <t>Kerala State Information Technology Infrastructure (KSITIL)</t>
  </si>
  <si>
    <t>Joint Stock</t>
  </si>
  <si>
    <t>Grand total</t>
  </si>
  <si>
    <t>Investment coop</t>
  </si>
  <si>
    <t>Housing</t>
  </si>
  <si>
    <t>Industrial</t>
  </si>
  <si>
    <t>4425-107</t>
  </si>
  <si>
    <t>credit</t>
  </si>
  <si>
    <t>4425-108-89</t>
  </si>
  <si>
    <t>4425-108-45</t>
  </si>
  <si>
    <t>consumer</t>
  </si>
  <si>
    <t>others</t>
  </si>
  <si>
    <t xml:space="preserve">Proforma/disinvst </t>
  </si>
  <si>
    <t>marketing</t>
  </si>
  <si>
    <t>Total disinvst</t>
  </si>
  <si>
    <t>Proforma correction</t>
  </si>
  <si>
    <t>TOTAL</t>
  </si>
  <si>
    <t>Statutory Corporation</t>
  </si>
  <si>
    <t>OB</t>
  </si>
  <si>
    <t>Current year</t>
  </si>
  <si>
    <t>proforma</t>
  </si>
  <si>
    <t>Govt Company</t>
  </si>
  <si>
    <t>Other Jt Stock</t>
  </si>
  <si>
    <t>Co-operatives</t>
  </si>
  <si>
    <t xml:space="preserve"> </t>
  </si>
  <si>
    <t>FIN_YR</t>
  </si>
  <si>
    <t>DR</t>
  </si>
  <si>
    <t>MJH</t>
  </si>
  <si>
    <t>MIH</t>
  </si>
  <si>
    <t>SBH</t>
  </si>
  <si>
    <t>4202</t>
  </si>
  <si>
    <t>04</t>
  </si>
  <si>
    <t>190</t>
  </si>
  <si>
    <t>99</t>
  </si>
  <si>
    <t>4210</t>
  </si>
  <si>
    <t>98</t>
  </si>
  <si>
    <t>Kerala Pharmaceutical Corporation - Share Capital Contribution</t>
  </si>
  <si>
    <t>4215</t>
  </si>
  <si>
    <t>02</t>
  </si>
  <si>
    <t>Sewerage Schemes of Kerala Water Authority</t>
  </si>
  <si>
    <t>4225</t>
  </si>
  <si>
    <t>01</t>
  </si>
  <si>
    <t>03</t>
  </si>
  <si>
    <t>97</t>
  </si>
  <si>
    <t>Kerala State Development Corporation for Christian converts from SC and other recommended Communities Limited</t>
  </si>
  <si>
    <t>4235</t>
  </si>
  <si>
    <t>96</t>
  </si>
  <si>
    <t>00</t>
  </si>
  <si>
    <t>95</t>
  </si>
  <si>
    <t>4401</t>
  </si>
  <si>
    <t>Kerala State Horticultural Products Development Corporation Ltd. - Investments</t>
  </si>
  <si>
    <t>4403</t>
  </si>
  <si>
    <t>4406</t>
  </si>
  <si>
    <t>Kerala Forest Development Corporation Investments</t>
  </si>
  <si>
    <t>4851</t>
  </si>
  <si>
    <t>Kerala State Handloom Development Corporation  Investments (HANVEEV)</t>
  </si>
  <si>
    <t>4859</t>
  </si>
  <si>
    <t>93</t>
  </si>
  <si>
    <t>Indian Institute of Information Technology and Management-Kerala-Share Capital Contribution</t>
  </si>
  <si>
    <t>94</t>
  </si>
  <si>
    <t>4860</t>
  </si>
  <si>
    <t>60</t>
  </si>
  <si>
    <t>Modernisation and Partial Mechanisation of Cashew Factories of KSCDC</t>
  </si>
  <si>
    <t>4885</t>
  </si>
  <si>
    <t>Providing Common Facilities for Working Women at Industrial Parks</t>
  </si>
  <si>
    <t>5053</t>
  </si>
  <si>
    <t>5055</t>
  </si>
  <si>
    <t>83</t>
  </si>
  <si>
    <t>5452</t>
  </si>
  <si>
    <t>5475</t>
  </si>
  <si>
    <t>Vision Varkala Infrastructure Development Corporation (VIVID)</t>
  </si>
  <si>
    <t>Total Joint Stock</t>
  </si>
  <si>
    <t>SMJH</t>
  </si>
  <si>
    <t>SBH_D</t>
  </si>
  <si>
    <t>Housing Co-operatives</t>
  </si>
  <si>
    <t>Share capital contribution - Kerala State Federation of SCs/STs Development Co-operative Limited</t>
  </si>
  <si>
    <t>Investment in Dairy Co-operatives</t>
  </si>
  <si>
    <t>4408</t>
  </si>
  <si>
    <t>Assistance to Primary Marketing Co-operatives and Federations (NCDC 100%)</t>
  </si>
  <si>
    <t>Factory Type and Cottage Type Handloom Primary and Industrial Weavers Co-operative Societies Investment</t>
  </si>
  <si>
    <t>Share participation by Government to new Powerloom Co-operative Societies</t>
  </si>
  <si>
    <t>Handloom Apex Society Investments (HANTEX)</t>
  </si>
  <si>
    <t>Government Share Participation for Coir Co-operatives</t>
  </si>
  <si>
    <t>92</t>
  </si>
  <si>
    <t>Modernisation of Powerloom Co-operative Societies under TEXFED</t>
  </si>
  <si>
    <t>CONSOLIDATION</t>
  </si>
  <si>
    <t>4425-108</t>
  </si>
  <si>
    <t>Total 195</t>
  </si>
  <si>
    <t>Warehousing</t>
  </si>
  <si>
    <t>Credit</t>
  </si>
  <si>
    <t>Processing</t>
  </si>
  <si>
    <t>Consumer</t>
  </si>
  <si>
    <t>Others</t>
  </si>
  <si>
    <t>Fisherman's</t>
  </si>
  <si>
    <t>Coop spinning mills</t>
  </si>
  <si>
    <t>Dairy Co-operatives</t>
  </si>
  <si>
    <t>Full fig</t>
  </si>
  <si>
    <t>in lakh</t>
  </si>
  <si>
    <t>in crore</t>
  </si>
  <si>
    <t>Total Investment</t>
  </si>
  <si>
    <t>MIH_CD</t>
  </si>
  <si>
    <t>SBH_CD</t>
  </si>
  <si>
    <t>SUM</t>
  </si>
  <si>
    <t>ASAP,Kerala - Share Capital Subscription</t>
  </si>
  <si>
    <t>Seed Capital for NBCFDC &amp; NMDFC Schemes</t>
  </si>
  <si>
    <t>Kerala State Warehousing Corporation - Investment</t>
  </si>
  <si>
    <t>4858</t>
  </si>
  <si>
    <t>Share Capital Investment in the resultant company formed after the take over of BHEL-EML</t>
  </si>
  <si>
    <t>Government's Equity in KELTRON Components Complex Ltd.</t>
  </si>
  <si>
    <t>Upgradation of the Infrastructure in Existing Industrial Parks</t>
  </si>
  <si>
    <t>Kerala State Road Transport Corporation - Investments</t>
  </si>
  <si>
    <t>Investment in Kochi Water Metro Limited</t>
  </si>
  <si>
    <t>Assistance to Kerala Co-operative Milk Marketing Federation</t>
  </si>
  <si>
    <t>Deduct Receipt and recoveries on Capital account</t>
  </si>
  <si>
    <t>05</t>
  </si>
  <si>
    <t>Total disinvstment</t>
  </si>
  <si>
    <t>2021-22</t>
  </si>
  <si>
    <t>Share Capital for the Kerala State Minority Development Finance Corporation</t>
  </si>
  <si>
    <t>Equity Contribution - KASE</t>
  </si>
  <si>
    <t>Kerala Life Sciences Industries Parks Private Limited</t>
  </si>
  <si>
    <t>Azhikkal Port Limited</t>
  </si>
  <si>
    <t xml:space="preserve">   </t>
  </si>
  <si>
    <t>DR_CR</t>
  </si>
  <si>
    <t>1</t>
  </si>
  <si>
    <t>2</t>
  </si>
  <si>
    <t>34</t>
  </si>
  <si>
    <t>4</t>
  </si>
  <si>
    <t>5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</si>
  <si>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</si>
  <si>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</si>
  <si>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</si>
  <si>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</si>
  <si>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</si>
  <si>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</si>
  <si>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</si>
  <si>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</si>
  <si>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</si>
  <si>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</si>
  <si>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</si>
  <si>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</si>
  <si>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</si>
  <si>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</si>
  <si>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</si>
  <si>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</si>
  <si>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</si>
  <si>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</si>
  <si>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</si>
  <si>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</si>
  <si>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</si>
  <si>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</si>
  <si>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</si>
  <si>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</si>
  <si>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</si>
  <si>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</si>
  <si>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</si>
  <si>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</si>
  <si>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36</t>
  </si>
  <si>
    <t>37</t>
  </si>
  <si>
    <t>38</t>
  </si>
  <si>
    <t>62</t>
  </si>
  <si>
    <t>80</t>
  </si>
  <si>
    <t>85</t>
  </si>
  <si>
    <t>86</t>
  </si>
  <si>
    <t>90</t>
  </si>
  <si>
    <t>195</t>
  </si>
  <si>
    <t>(*) Societywise details not available.</t>
  </si>
  <si>
    <t>Share Capital Contribution to OKIH Ltd</t>
  </si>
  <si>
    <t>Kerala Rubber Limited</t>
  </si>
  <si>
    <t>Amount in lakh</t>
  </si>
  <si>
    <t>Kerala Life Sciences Industries parks private Ltd</t>
  </si>
  <si>
    <t>Integrated Water Transport System to Kochi</t>
  </si>
  <si>
    <t>Smart City Project</t>
  </si>
  <si>
    <t>Hotel Management at Kottayam</t>
  </si>
  <si>
    <t>Electronic Fabrication Laboratory</t>
  </si>
  <si>
    <t>Companies producing Neera</t>
  </si>
  <si>
    <t>LAC-ADS</t>
  </si>
  <si>
    <t>Solar Cruise Boat</t>
  </si>
  <si>
    <t>Kerala Maritime Board</t>
  </si>
  <si>
    <t>Construction of POL Tanker Barge</t>
  </si>
  <si>
    <t>Construction of a POL Carrier Barge</t>
  </si>
  <si>
    <t>Share Capital Contribution to Kerala State Co-Operative Bank</t>
  </si>
  <si>
    <t>Construction of Acid Carrier Barges</t>
  </si>
  <si>
    <t>Kerala Waterways and Infrastructure Ltd (KWIL)</t>
  </si>
  <si>
    <t>4250</t>
  </si>
  <si>
    <t>5051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</si>
  <si>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</si>
  <si>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35</t>
  </si>
  <si>
    <t>30</t>
  </si>
  <si>
    <t>Kerala Livestock Development Board</t>
  </si>
  <si>
    <t>The Kerala Financial Corporation -Investments</t>
  </si>
  <si>
    <t>4216</t>
  </si>
  <si>
    <t>4404</t>
  </si>
  <si>
    <t>Investment in Capex as Share Capital Contribution</t>
  </si>
  <si>
    <t>Co operatives</t>
  </si>
  <si>
    <t>2022-23</t>
  </si>
  <si>
    <t>Construction of ferry terminal jetty (KSINC)</t>
  </si>
  <si>
    <t>Exclusions (Foot note)</t>
  </si>
  <si>
    <t>MJH_CD</t>
  </si>
  <si>
    <t>SMJH_CD</t>
  </si>
  <si>
    <t>2023-2024</t>
  </si>
  <si>
    <t>Kerala State Nirmithi Kendra (KESNIK)</t>
  </si>
  <si>
    <t>Grihashree Housing Scheme</t>
  </si>
  <si>
    <t>Share Capital Contribution to Kerala State Development Corporation for SCs/STs (51% State Share)</t>
  </si>
  <si>
    <t>Share Capital Contribution to KSDC for SC/ST for taking up Tribal Development Programme (49% CSS)</t>
  </si>
  <si>
    <t>Share Capital Contribution to Kerala State Pottery Manufacturing and Marketing Development Corporation</t>
  </si>
  <si>
    <t>Investment in Kerala State Welfare Corporation for Forward Communities</t>
  </si>
  <si>
    <t>Share Capital Contribution to the Kerala State Ex-servicemen Development And Rehabilitation Corporation</t>
  </si>
  <si>
    <t>One time Financial Assistance for Re-structuring IITM-K as Deemed University</t>
  </si>
  <si>
    <t>Deduct - Receipts and Recoveries on Capital Account</t>
  </si>
  <si>
    <t>Land acquisition for the Development of Kozhikode Airport.</t>
  </si>
  <si>
    <t>Projects under Legislative Assembly Constituency Asset Development Scheme (LAC ADS)</t>
  </si>
  <si>
    <t>Bakel Resort Development Corporation Limited</t>
  </si>
  <si>
    <t>Kerala Tourism Development Corporation</t>
  </si>
  <si>
    <t>5465</t>
  </si>
  <si>
    <t>Participation in the issue of shares in the regional Rural Banks</t>
  </si>
  <si>
    <t>WORKING SHEET OF STATEMENT No.8 AND STATEMENT 19_2023-24</t>
  </si>
  <si>
    <t>WorkingGovt Companies Invst 2023-24</t>
  </si>
  <si>
    <t>4859-02-190-99</t>
  </si>
  <si>
    <t>Increased proforma due to  conversion of loan into equity for Kerala State Electronic Development Corporation</t>
  </si>
  <si>
    <t>4858-01-190-88</t>
  </si>
  <si>
    <t>Increased proforma due to conversion of loan into equity for Kerala Electrical and Allied Engineering Company Limited</t>
  </si>
  <si>
    <t>Proforma Correction during 2023-24</t>
  </si>
  <si>
    <t>Details of Co-operatives (2023-24)</t>
  </si>
  <si>
    <t>Proforma/disinvestment of Co operatives (2023-24)</t>
  </si>
  <si>
    <t>Kerala State Nirmiti Kendra (KESNIK)</t>
  </si>
  <si>
    <t>Grihasree housing scheme</t>
  </si>
  <si>
    <t>Land Acquisition for the development of Kozhikode Airport</t>
  </si>
  <si>
    <t>Deduct-Receipts and Recoveries on Capital Account</t>
  </si>
  <si>
    <t>Comparative Summary of Government Investment in the share capital for 2022-23 and 2023-24</t>
  </si>
  <si>
    <t>2023-24</t>
  </si>
  <si>
    <r>
      <t xml:space="preserve">      Women at Industrial Parks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3.00 crore),Upgradation of the Infrastructure in Existing Industrial Parks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30.24 crore), ,Integrated Water Tranport System to Kochi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179.30 crore),Smart City Project </t>
    </r>
  </si>
  <si>
    <r>
      <t xml:space="preserve">      Deduct -Receipts and Recoveries on Capital Account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 -7.91 crore).</t>
    </r>
  </si>
  <si>
    <t>0050-00-101-99</t>
  </si>
  <si>
    <t>0050-00-200-99</t>
  </si>
  <si>
    <t>0050-00-200-98</t>
  </si>
  <si>
    <t xml:space="preserve">Other </t>
  </si>
  <si>
    <t>DIVIDEND 2023-2024</t>
  </si>
  <si>
    <r>
      <t xml:space="preserve">    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31.20 crore),  Hotel Management  at  Kottayam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0.01 crore), Electronic Fabrication Laboratory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3.55 crore) Companies producing Neera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5.00 crore),LAC-ADS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5.38 crore), Solar Cruise Boat</t>
    </r>
  </si>
  <si>
    <r>
      <t xml:space="preserve">    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4.25 crore),KeralaMaritime Board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0.01 crore),Construction of POL Carrier Barge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2.50 crore),Share CapitalContribution to Kerala State  Co operative Bank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400.00 crore),Construction</t>
    </r>
  </si>
  <si>
    <r>
      <t xml:space="preserve">      of Acid Carrier Barges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2.99 crore), Kerala State Nirmiti Kendra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0.60 crore), Grihasree Housing Scheme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 4.73 crore), Land Acquisition for the development of Kozhikode Airport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67.47 crore),</t>
    </r>
  </si>
  <si>
    <t>(b)</t>
  </si>
  <si>
    <t xml:space="preserve"> (c)</t>
  </si>
  <si>
    <t>(d)</t>
  </si>
  <si>
    <r>
      <t xml:space="preserve"> (d ) Increased pro forma by </t>
    </r>
    <r>
      <rPr>
        <sz val="10"/>
        <rFont val="Rupee Foradian"/>
        <family val="2"/>
      </rPr>
      <t xml:space="preserve">` </t>
    </r>
    <r>
      <rPr>
        <sz val="10"/>
        <rFont val="Times New Roman"/>
        <family val="1"/>
      </rPr>
      <t>106.51 crore vide footnote (a) of this statement</t>
    </r>
  </si>
  <si>
    <r>
      <t>(a) Increased proforma by  reclassification of conversion of loan into equity for Kerala State Electronic Development Corporation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72.00 crore), and Kerala Electrical and Allied Engineering Company</t>
    </r>
  </si>
  <si>
    <r>
      <t xml:space="preserve">       Limited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34.51 crore) on account ofreclassification loan into equity.</t>
    </r>
  </si>
  <si>
    <r>
      <t xml:space="preserve">(c) Excludes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838.95 crore being Sewerage schemes of Kerala Water Authority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101.13 crore), Seed capital for  NBCFDC &amp;NMDFC schemes (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5.50 crore),  Providng common facilities for Working</t>
    </r>
  </si>
  <si>
    <t>Full figure</t>
  </si>
  <si>
    <r>
      <rPr>
        <b/>
        <sz val="12"/>
        <rFont val="Rupee Foradian"/>
        <family val="2"/>
      </rPr>
      <t>`</t>
    </r>
    <r>
      <rPr>
        <b/>
        <sz val="12"/>
        <rFont val="Times New Roman"/>
        <family val="1"/>
      </rPr>
      <t xml:space="preserve"> in lakh</t>
    </r>
  </si>
  <si>
    <r>
      <rPr>
        <b/>
        <sz val="12"/>
        <rFont val="Rupee Foradian"/>
        <family val="2"/>
      </rPr>
      <t>`</t>
    </r>
    <r>
      <rPr>
        <b/>
        <sz val="12"/>
        <rFont val="Times New Roman"/>
        <family val="1"/>
      </rPr>
      <t xml:space="preserve"> in crore</t>
    </r>
  </si>
  <si>
    <r>
      <t xml:space="preserve">(b) Decreased </t>
    </r>
    <r>
      <rPr>
        <i/>
        <sz val="9"/>
        <rFont val="Times New Roman"/>
        <family val="1"/>
      </rPr>
      <t>pro forma</t>
    </r>
    <r>
      <rPr>
        <sz val="9"/>
        <rFont val="Times New Roman"/>
        <family val="1"/>
      </rPr>
      <t xml:space="preserve"> by </t>
    </r>
    <r>
      <rPr>
        <sz val="9"/>
        <rFont val="Rupee Foradian"/>
        <family val="2"/>
      </rPr>
      <t>`</t>
    </r>
    <r>
      <rPr>
        <sz val="9"/>
        <rFont val="Times New Roman"/>
        <family val="1"/>
      </rPr>
      <t>47.51</t>
    </r>
    <r>
      <rPr>
        <sz val="9"/>
        <rFont val="Rupee Foradian"/>
        <family val="2"/>
      </rPr>
      <t xml:space="preserve"> </t>
    </r>
    <r>
      <rPr>
        <sz val="9"/>
        <rFont val="Times New Roman"/>
        <family val="1"/>
      </rPr>
      <t>crore due to proceeds of retirement of share capital transferred to capital receipts.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</si>
</sst>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 * #,##0.00_ ;_ * \-#,##0.00_ ;_ * &quot;-&quot;??_ ;_ @_ "/>
    <numFmt numFmtId="165" formatCode="0_)"/>
    <numFmt numFmtId="166" formatCode="0.00_)"/>
    <numFmt numFmtId="167" formatCode="#0.00"/>
    <numFmt numFmtId="168" formatCode="#\,###.00"/>
    <numFmt numFmtId="169" formatCode=";\(\-\)#0.00;"/>
  </numFmts>
  <fonts count="26" x14ac:knownFonts="1">
    <font>
      <sz val="12"/>
      <name val="Helv"/>
    </font>
    <font>
      <sz val="8"/>
      <name val="Helv"/>
    </font>
    <font>
      <b/>
      <sz val="12"/>
      <name val="Times New Roman"/>
      <family val="1"/>
    </font>
    <font>
      <sz val="12"/>
      <name val="Times New Roman"/>
      <family val="1"/>
    </font>
    <font>
      <u val="double"/>
      <sz val="12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i/>
      <sz val="10"/>
      <name val="Times New Roman"/>
      <family val="1"/>
    </font>
    <font>
      <i/>
      <sz val="10"/>
      <name val="Rupee Foradian"/>
      <family val="2"/>
    </font>
    <font>
      <sz val="10"/>
      <name val="Helv"/>
    </font>
    <font>
      <sz val="10"/>
      <color indexed="64"/>
      <name val="Arial"/>
      <family val="2"/>
    </font>
    <font>
      <b/>
      <u/>
      <sz val="14"/>
      <name val="Times New Roman"/>
      <family val="1"/>
    </font>
    <font>
      <sz val="12"/>
      <color indexed="64"/>
      <name val="Times New Roman"/>
      <family val="1"/>
    </font>
    <font>
      <b/>
      <sz val="14"/>
      <name val="Times New Roman"/>
      <family val="1"/>
    </font>
    <font>
      <b/>
      <sz val="12"/>
      <name val="Helv"/>
    </font>
    <font>
      <sz val="9"/>
      <name val="Rupee Foradian"/>
      <family val="2"/>
    </font>
    <font>
      <i/>
      <sz val="9"/>
      <name val="Times New Roman"/>
      <family val="1"/>
    </font>
    <font>
      <sz val="10"/>
      <name val="Rupee Foradian"/>
      <family val="2"/>
    </font>
    <font>
      <b/>
      <u/>
      <sz val="12"/>
      <name val="Times New Roman"/>
      <family val="1"/>
    </font>
    <font>
      <b/>
      <sz val="12"/>
      <color indexed="64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Helv"/>
    </font>
    <font>
      <b/>
      <sz val="12"/>
      <name val="Times New Roman"/>
      <family val="2"/>
    </font>
    <font>
      <b/>
      <sz val="12"/>
      <name val="Rupee Foradian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1" fillId="0" borderId="0"/>
    <xf numFmtId="164" fontId="23" fillId="0" borderId="0" applyFont="0" applyFill="0" applyBorder="0" applyAlignment="0" applyProtection="0"/>
  </cellStyleXfs>
  <cellXfs count="17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2" fontId="3" fillId="0" borderId="0" xfId="0" applyNumberFormat="1" applyFont="1"/>
    <xf numFmtId="2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165" fontId="3" fillId="0" borderId="0" xfId="0" applyNumberFormat="1" applyFont="1"/>
    <xf numFmtId="165" fontId="3" fillId="0" borderId="0" xfId="0" applyNumberFormat="1" applyFont="1" applyAlignment="1">
      <alignment horizontal="center"/>
    </xf>
    <xf numFmtId="166" fontId="3" fillId="0" borderId="0" xfId="0" applyNumberFormat="1" applyFont="1"/>
    <xf numFmtId="0" fontId="3" fillId="0" borderId="1" xfId="0" applyFont="1" applyBorder="1" applyAlignment="1">
      <alignment horizontal="center"/>
    </xf>
    <xf numFmtId="0" fontId="4" fillId="0" borderId="0" xfId="0" applyFont="1"/>
    <xf numFmtId="2" fontId="3" fillId="0" borderId="0" xfId="0" applyNumberFormat="1" applyFont="1" applyAlignment="1">
      <alignment vertical="center"/>
    </xf>
    <xf numFmtId="0" fontId="5" fillId="0" borderId="0" xfId="0" quotePrefix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2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2" fontId="2" fillId="0" borderId="3" xfId="0" applyNumberFormat="1" applyFont="1" applyBorder="1"/>
    <xf numFmtId="2" fontId="2" fillId="0" borderId="0" xfId="0" applyNumberFormat="1" applyFont="1" applyAlignment="1">
      <alignment vertical="top"/>
    </xf>
    <xf numFmtId="0" fontId="14" fillId="0" borderId="0" xfId="0" applyFont="1"/>
    <xf numFmtId="49" fontId="3" fillId="0" borderId="0" xfId="0" applyNumberFormat="1" applyFont="1" applyAlignment="1">
      <alignment vertical="top" wrapText="1"/>
    </xf>
    <xf numFmtId="2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2" fontId="21" fillId="0" borderId="0" xfId="0" applyNumberFormat="1" applyFont="1" applyAlignment="1">
      <alignment horizontal="center"/>
    </xf>
    <xf numFmtId="0" fontId="0" fillId="0" borderId="0" xfId="0" applyAlignment="1">
      <alignment vertical="top"/>
    </xf>
    <xf numFmtId="0" fontId="3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22" fillId="0" borderId="0" xfId="0" applyFont="1"/>
    <xf numFmtId="0" fontId="21" fillId="0" borderId="0" xfId="0" applyFont="1"/>
    <xf numFmtId="2" fontId="22" fillId="0" borderId="3" xfId="0" applyNumberFormat="1" applyFont="1" applyBorder="1"/>
    <xf numFmtId="4" fontId="0" fillId="0" borderId="0" xfId="0" applyNumberFormat="1"/>
    <xf numFmtId="4" fontId="3" fillId="0" borderId="0" xfId="0" applyNumberFormat="1" applyFont="1"/>
    <xf numFmtId="4" fontId="21" fillId="0" borderId="0" xfId="0" applyNumberFormat="1" applyFont="1"/>
    <xf numFmtId="4" fontId="2" fillId="0" borderId="0" xfId="0" applyNumberFormat="1" applyFont="1"/>
    <xf numFmtId="0" fontId="3" fillId="0" borderId="0" xfId="0" quotePrefix="1" applyFont="1" applyAlignment="1">
      <alignment horizontal="center"/>
    </xf>
    <xf numFmtId="0" fontId="3" fillId="0" borderId="4" xfId="0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5" fillId="0" borderId="4" xfId="0" quotePrefix="1" applyFont="1" applyBorder="1" applyAlignment="1">
      <alignment horizontal="center"/>
    </xf>
    <xf numFmtId="0" fontId="3" fillId="0" borderId="4" xfId="0" applyFont="1" applyBorder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1" fillId="0" borderId="0" xfId="0" applyFont="1" applyAlignment="1">
      <alignment vertical="top" wrapText="1"/>
    </xf>
    <xf numFmtId="49" fontId="13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 vertical="top"/>
    </xf>
    <xf numFmtId="4" fontId="2" fillId="0" borderId="3" xfId="0" applyNumberFormat="1" applyFont="1" applyBorder="1"/>
    <xf numFmtId="0" fontId="2" fillId="0" borderId="3" xfId="0" applyFont="1" applyBorder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2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2" fillId="0" borderId="0" xfId="0" applyFont="1" applyAlignment="1">
      <alignment wrapText="1"/>
    </xf>
    <xf numFmtId="4" fontId="22" fillId="0" borderId="3" xfId="0" applyNumberFormat="1" applyFont="1" applyBorder="1"/>
    <xf numFmtId="0" fontId="22" fillId="0" borderId="0" xfId="0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2" fontId="22" fillId="0" borderId="0" xfId="0" applyNumberFormat="1" applyFont="1"/>
    <xf numFmtId="2" fontId="0" fillId="0" borderId="0" xfId="0" applyNumberForma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1" fontId="0" fillId="0" borderId="0" xfId="0" applyNumberFormat="1"/>
    <xf numFmtId="1" fontId="3" fillId="0" borderId="0" xfId="0" applyNumberFormat="1" applyFont="1" applyAlignment="1">
      <alignment horizontal="right"/>
    </xf>
    <xf numFmtId="2" fontId="21" fillId="0" borderId="0" xfId="0" applyNumberFormat="1" applyFont="1"/>
    <xf numFmtId="0" fontId="20" fillId="0" borderId="0" xfId="0" applyFont="1"/>
    <xf numFmtId="0" fontId="13" fillId="0" borderId="0" xfId="0" applyFont="1"/>
    <xf numFmtId="49" fontId="13" fillId="0" borderId="0" xfId="0" applyNumberFormat="1" applyFont="1"/>
    <xf numFmtId="49" fontId="0" fillId="0" borderId="0" xfId="0" applyNumberFormat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49" fontId="22" fillId="0" borderId="0" xfId="0" applyNumberFormat="1" applyFont="1" applyAlignment="1">
      <alignment wrapText="1"/>
    </xf>
    <xf numFmtId="164" fontId="22" fillId="0" borderId="0" xfId="2" applyFont="1"/>
    <xf numFmtId="164" fontId="22" fillId="0" borderId="0" xfId="2" applyFont="1" applyBorder="1"/>
    <xf numFmtId="164" fontId="22" fillId="0" borderId="0" xfId="2" applyFont="1" applyAlignment="1">
      <alignment horizontal="right" vertical="top"/>
    </xf>
    <xf numFmtId="0" fontId="20" fillId="0" borderId="0" xfId="0" applyFont="1" applyAlignment="1">
      <alignment horizontal="right" vertical="top"/>
    </xf>
    <xf numFmtId="4" fontId="15" fillId="0" borderId="0" xfId="0" applyNumberFormat="1" applyFont="1"/>
    <xf numFmtId="164" fontId="21" fillId="0" borderId="0" xfId="2" applyFont="1"/>
    <xf numFmtId="164" fontId="22" fillId="0" borderId="3" xfId="2" applyFont="1" applyBorder="1"/>
    <xf numFmtId="164" fontId="2" fillId="0" borderId="0" xfId="2" applyFont="1" applyAlignment="1">
      <alignment horizontal="right"/>
    </xf>
    <xf numFmtId="2" fontId="2" fillId="0" borderId="3" xfId="0" applyNumberFormat="1" applyFont="1" applyBorder="1" applyAlignment="1">
      <alignment vertical="top"/>
    </xf>
    <xf numFmtId="0" fontId="3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3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0" borderId="10" xfId="0" applyFont="1" applyBorder="1"/>
    <xf numFmtId="0" fontId="3" fillId="0" borderId="9" xfId="0" applyFont="1" applyBorder="1" applyAlignment="1">
      <alignment horizontal="left"/>
    </xf>
    <xf numFmtId="0" fontId="3" fillId="0" borderId="13" xfId="0" applyFont="1" applyBorder="1" applyAlignment="1">
      <alignment horizontal="center"/>
    </xf>
    <xf numFmtId="0" fontId="2" fillId="0" borderId="14" xfId="0" quotePrefix="1" applyFont="1" applyBorder="1" applyAlignment="1">
      <alignment horizontal="center"/>
    </xf>
    <xf numFmtId="0" fontId="2" fillId="0" borderId="10" xfId="0" quotePrefix="1" applyFont="1" applyBorder="1" applyAlignment="1">
      <alignment horizontal="center"/>
    </xf>
    <xf numFmtId="0" fontId="6" fillId="0" borderId="9" xfId="0" applyFont="1" applyBorder="1" applyAlignment="1">
      <alignment vertical="center"/>
    </xf>
    <xf numFmtId="0" fontId="6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3" fillId="0" borderId="9" xfId="0" applyFont="1" applyBorder="1"/>
    <xf numFmtId="0" fontId="3" fillId="0" borderId="16" xfId="0" applyFont="1" applyBorder="1"/>
    <xf numFmtId="0" fontId="3" fillId="0" borderId="2" xfId="0" applyFont="1" applyBorder="1"/>
    <xf numFmtId="2" fontId="3" fillId="0" borderId="2" xfId="0" applyNumberFormat="1" applyFont="1" applyBorder="1"/>
    <xf numFmtId="2" fontId="2" fillId="0" borderId="2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167" fontId="3" fillId="0" borderId="4" xfId="0" applyNumberFormat="1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9" fontId="3" fillId="0" borderId="0" xfId="0" applyNumberFormat="1" applyFont="1" applyAlignment="1">
      <alignment horizontal="center"/>
    </xf>
    <xf numFmtId="168" fontId="21" fillId="0" borderId="0" xfId="0" applyNumberFormat="1" applyFont="1" applyAlignment="1">
      <alignment horizontal="center"/>
    </xf>
    <xf numFmtId="168" fontId="3" fillId="0" borderId="4" xfId="0" applyNumberFormat="1" applyFont="1" applyBorder="1" applyAlignment="1">
      <alignment horizontal="center"/>
    </xf>
    <xf numFmtId="167" fontId="3" fillId="0" borderId="0" xfId="0" applyNumberFormat="1" applyFont="1" applyAlignment="1">
      <alignment horizontal="center"/>
    </xf>
    <xf numFmtId="0" fontId="15" fillId="0" borderId="0" xfId="0" applyFont="1"/>
    <xf numFmtId="49" fontId="15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vertical="top" wrapText="1"/>
    </xf>
    <xf numFmtId="49" fontId="21" fillId="0" borderId="0" xfId="0" applyNumberFormat="1" applyFont="1"/>
    <xf numFmtId="49" fontId="21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164" fontId="3" fillId="0" borderId="0" xfId="2" applyFont="1"/>
    <xf numFmtId="0" fontId="21" fillId="0" borderId="0" xfId="0" applyFont="1" applyAlignment="1">
      <alignment wrapText="1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top"/>
    </xf>
    <xf numFmtId="49" fontId="22" fillId="0" borderId="0" xfId="0" applyNumberFormat="1" applyFont="1"/>
    <xf numFmtId="49" fontId="13" fillId="0" borderId="0" xfId="0" applyNumberFormat="1" applyFont="1" applyAlignment="1">
      <alignment wrapText="1"/>
    </xf>
    <xf numFmtId="164" fontId="13" fillId="0" borderId="0" xfId="2" applyFont="1"/>
    <xf numFmtId="164" fontId="2" fillId="0" borderId="0" xfId="0" applyNumberFormat="1" applyFont="1"/>
    <xf numFmtId="164" fontId="3" fillId="0" borderId="0" xfId="2" applyFont="1" applyAlignment="1">
      <alignment vertical="top"/>
    </xf>
    <xf numFmtId="164" fontId="2" fillId="0" borderId="0" xfId="2" applyFont="1" applyAlignment="1">
      <alignment vertical="top"/>
    </xf>
    <xf numFmtId="0" fontId="20" fillId="0" borderId="0" xfId="0" applyFont="1" applyAlignment="1">
      <alignment wrapText="1"/>
    </xf>
    <xf numFmtId="164" fontId="20" fillId="0" borderId="0" xfId="2" applyFont="1"/>
    <xf numFmtId="0" fontId="13" fillId="0" borderId="0" xfId="0" applyFont="1" applyAlignment="1">
      <alignment wrapText="1"/>
    </xf>
    <xf numFmtId="2" fontId="2" fillId="0" borderId="0" xfId="2" applyNumberFormat="1" applyFont="1" applyAlignment="1">
      <alignment vertical="top"/>
    </xf>
    <xf numFmtId="2" fontId="21" fillId="0" borderId="0" xfId="2" applyNumberFormat="1" applyFont="1" applyAlignment="1">
      <alignment vertical="top" wrapText="1"/>
    </xf>
    <xf numFmtId="2" fontId="3" fillId="0" borderId="0" xfId="2" applyNumberFormat="1" applyFont="1" applyAlignment="1">
      <alignment vertical="top" wrapText="1"/>
    </xf>
    <xf numFmtId="2" fontId="3" fillId="0" borderId="0" xfId="2" applyNumberFormat="1" applyFont="1" applyAlignment="1">
      <alignment vertical="top"/>
    </xf>
    <xf numFmtId="2" fontId="13" fillId="0" borderId="0" xfId="2" applyNumberFormat="1" applyFont="1" applyAlignment="1">
      <alignment vertical="top" wrapText="1"/>
    </xf>
    <xf numFmtId="164" fontId="0" fillId="0" borderId="0" xfId="0" applyNumberFormat="1"/>
    <xf numFmtId="164" fontId="2" fillId="0" borderId="0" xfId="2" applyFont="1"/>
    <xf numFmtId="43" fontId="0" fillId="0" borderId="0" xfId="0" applyNumberFormat="1"/>
    <xf numFmtId="0" fontId="24" fillId="0" borderId="0" xfId="0" applyFont="1"/>
    <xf numFmtId="43" fontId="13" fillId="0" borderId="0" xfId="0" applyNumberFormat="1" applyFont="1"/>
    <xf numFmtId="0" fontId="7" fillId="0" borderId="9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8" fillId="0" borderId="8" xfId="0" quotePrefix="1" applyFont="1" applyBorder="1" applyAlignment="1">
      <alignment horizontal="right" wrapText="1"/>
    </xf>
    <xf numFmtId="0" fontId="10" fillId="0" borderId="1" xfId="0" applyFont="1" applyBorder="1" applyAlignment="1">
      <alignment horizontal="right" wrapText="1"/>
    </xf>
    <xf numFmtId="0" fontId="2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7" fillId="0" borderId="9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0" borderId="9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9" xfId="0" quotePrefix="1" applyFont="1" applyBorder="1" applyAlignment="1">
      <alignment horizontal="left" vertical="center"/>
    </xf>
    <xf numFmtId="0" fontId="6" fillId="0" borderId="0" xfId="0" quotePrefix="1" applyFont="1" applyAlignment="1">
      <alignment horizontal="left" vertical="center"/>
    </xf>
    <xf numFmtId="0" fontId="6" fillId="0" borderId="15" xfId="0" applyFont="1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19" xfId="0" applyFont="1" applyBorder="1" applyAlignment="1">
      <alignment horizontal="left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9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</cellXfs>
  <cellStyles count="3">
    <cellStyle name="Comma" xfId="2" builtinId="3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W35"/>
  <sheetViews>
    <sheetView tabSelected="1" view="pageBreakPreview" zoomScaleSheetLayoutView="100" workbookViewId="0">
      <selection activeCell="O25" sqref="O25"/>
    </sheetView>
  </sheetViews>
  <sheetFormatPr defaultColWidth="9.77734375" defaultRowHeight="18" customHeight="1" x14ac:dyDescent="0.25"/>
  <cols>
    <col min="1" max="1" width="27.77734375" style="2" customWidth="1"/>
    <col min="2" max="2" width="10" style="2" customWidth="1"/>
    <col min="3" max="3" width="16.21875" style="2" hidden="1" customWidth="1"/>
    <col min="4" max="4" width="13.6640625" style="2" customWidth="1"/>
    <col min="5" max="5" width="2.21875" style="1" customWidth="1"/>
    <col min="6" max="6" width="14.77734375" style="2" hidden="1" customWidth="1"/>
    <col min="7" max="7" width="14.77734375" style="2" customWidth="1"/>
    <col min="8" max="8" width="2.33203125" style="2" customWidth="1"/>
    <col min="9" max="9" width="8.33203125" style="4" customWidth="1"/>
    <col min="10" max="10" width="15.5546875" style="6" hidden="1" customWidth="1"/>
    <col min="11" max="11" width="17.6640625" style="6" customWidth="1"/>
    <col min="12" max="12" width="3.88671875" style="1" customWidth="1"/>
    <col min="13" max="13" width="13.21875" style="6" hidden="1" customWidth="1"/>
    <col min="14" max="14" width="15.33203125" style="6" customWidth="1"/>
    <col min="15" max="15" width="11" style="1" customWidth="1"/>
    <col min="16" max="16" width="10.6640625" style="2" bestFit="1" customWidth="1"/>
    <col min="17" max="17" width="9.77734375" style="2" customWidth="1"/>
    <col min="18" max="18" width="11.77734375" style="2" customWidth="1"/>
    <col min="19" max="19" width="9.77734375" style="2" customWidth="1"/>
    <col min="20" max="20" width="11.77734375" style="2" customWidth="1"/>
    <col min="21" max="16384" width="9.77734375" style="2"/>
  </cols>
  <sheetData>
    <row r="1" spans="1:23" ht="18" customHeight="1" x14ac:dyDescent="0.25">
      <c r="A1" s="147" t="s">
        <v>15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9"/>
      <c r="T1" s="12"/>
    </row>
    <row r="2" spans="1:23" ht="18" customHeight="1" x14ac:dyDescent="0.25">
      <c r="A2" s="155" t="s">
        <v>251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7"/>
      <c r="O2" s="84"/>
      <c r="T2" s="12"/>
    </row>
    <row r="3" spans="1:23" ht="18" customHeight="1" x14ac:dyDescent="0.25">
      <c r="A3" s="85"/>
      <c r="B3" s="18"/>
      <c r="C3" s="18"/>
      <c r="D3" s="18"/>
      <c r="E3" s="18"/>
      <c r="F3" s="18"/>
      <c r="G3" s="18"/>
      <c r="H3" s="18"/>
      <c r="I3" s="1"/>
      <c r="J3" s="1"/>
      <c r="K3" s="1"/>
      <c r="M3" s="15"/>
      <c r="N3" s="15"/>
      <c r="O3" s="86"/>
      <c r="W3" s="8"/>
    </row>
    <row r="4" spans="1:23" ht="18" customHeight="1" x14ac:dyDescent="0.25">
      <c r="A4" s="87"/>
      <c r="B4" s="150" t="s">
        <v>252</v>
      </c>
      <c r="C4" s="150"/>
      <c r="D4" s="150"/>
      <c r="E4" s="150"/>
      <c r="F4" s="150"/>
      <c r="G4" s="1"/>
      <c r="I4" s="151" t="s">
        <v>217</v>
      </c>
      <c r="J4" s="151"/>
      <c r="K4" s="151"/>
      <c r="L4" s="151"/>
      <c r="M4" s="151"/>
      <c r="N4" s="151"/>
      <c r="O4" s="152"/>
      <c r="S4" s="10"/>
      <c r="U4" s="10"/>
      <c r="W4" s="8"/>
    </row>
    <row r="5" spans="1:23" s="4" customFormat="1" ht="18" customHeight="1" x14ac:dyDescent="0.25">
      <c r="A5" s="88" t="s">
        <v>3</v>
      </c>
      <c r="B5" s="11" t="s">
        <v>7</v>
      </c>
      <c r="C5" s="11" t="s">
        <v>10</v>
      </c>
      <c r="D5" s="11" t="s">
        <v>10</v>
      </c>
      <c r="E5" s="11"/>
      <c r="F5" s="11" t="s">
        <v>6</v>
      </c>
      <c r="G5" s="11" t="s">
        <v>6</v>
      </c>
      <c r="H5" s="11"/>
      <c r="I5" s="4" t="s">
        <v>7</v>
      </c>
      <c r="J5" s="4" t="s">
        <v>10</v>
      </c>
      <c r="K5" s="4" t="s">
        <v>10</v>
      </c>
      <c r="M5" s="4" t="s">
        <v>6</v>
      </c>
      <c r="N5" s="4" t="s">
        <v>6</v>
      </c>
      <c r="O5" s="86"/>
      <c r="R5" s="9"/>
      <c r="W5" s="9"/>
    </row>
    <row r="6" spans="1:23" s="4" customFormat="1" ht="18" customHeight="1" x14ac:dyDescent="0.25">
      <c r="A6" s="88" t="s">
        <v>4</v>
      </c>
      <c r="B6" s="4" t="s">
        <v>8</v>
      </c>
      <c r="C6" s="4" t="s">
        <v>14</v>
      </c>
      <c r="D6" s="4" t="s">
        <v>14</v>
      </c>
      <c r="F6" s="4" t="s">
        <v>2</v>
      </c>
      <c r="G6" s="4" t="s">
        <v>2</v>
      </c>
      <c r="I6" s="4" t="s">
        <v>8</v>
      </c>
      <c r="J6" s="4" t="s">
        <v>14</v>
      </c>
      <c r="K6" s="4" t="s">
        <v>14</v>
      </c>
      <c r="M6" s="4" t="s">
        <v>2</v>
      </c>
      <c r="N6" s="4" t="s">
        <v>2</v>
      </c>
      <c r="O6" s="86"/>
      <c r="R6" s="9"/>
      <c r="W6" s="9"/>
    </row>
    <row r="7" spans="1:23" s="4" customFormat="1" ht="18" customHeight="1" x14ac:dyDescent="0.25">
      <c r="A7" s="88"/>
      <c r="B7" s="4" t="s">
        <v>9</v>
      </c>
      <c r="C7" s="4" t="s">
        <v>5</v>
      </c>
      <c r="D7" s="4" t="s">
        <v>5</v>
      </c>
      <c r="F7" s="4" t="s">
        <v>217</v>
      </c>
      <c r="G7" s="4" t="s">
        <v>252</v>
      </c>
      <c r="I7" s="4" t="s">
        <v>9</v>
      </c>
      <c r="J7" s="4" t="s">
        <v>5</v>
      </c>
      <c r="K7" s="4" t="s">
        <v>5</v>
      </c>
      <c r="M7" s="4" t="s">
        <v>139</v>
      </c>
      <c r="N7" s="38" t="s">
        <v>217</v>
      </c>
      <c r="O7" s="86"/>
      <c r="S7" s="7"/>
      <c r="U7" s="7"/>
    </row>
    <row r="8" spans="1:23" s="4" customFormat="1" ht="18" customHeight="1" x14ac:dyDescent="0.25">
      <c r="A8" s="88"/>
      <c r="B8" s="16"/>
      <c r="C8" s="16"/>
      <c r="D8" s="16"/>
      <c r="E8" s="16"/>
      <c r="F8" s="16"/>
      <c r="G8" s="16"/>
      <c r="H8" s="16"/>
      <c r="I8" s="16"/>
      <c r="J8" s="17"/>
      <c r="K8" s="17"/>
      <c r="L8" s="16"/>
      <c r="M8" s="16"/>
      <c r="N8" s="16"/>
      <c r="O8" s="89"/>
      <c r="S8" s="7"/>
      <c r="U8" s="7"/>
    </row>
    <row r="9" spans="1:23" ht="18" customHeight="1" x14ac:dyDescent="0.25">
      <c r="A9" s="153" t="s">
        <v>16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90"/>
    </row>
    <row r="10" spans="1:23" ht="9" customHeight="1" x14ac:dyDescent="0.25">
      <c r="A10" s="88"/>
      <c r="B10" s="4"/>
      <c r="C10" s="6"/>
      <c r="D10" s="6"/>
      <c r="F10" s="6"/>
      <c r="G10" s="6"/>
      <c r="H10" s="4"/>
      <c r="O10" s="86"/>
    </row>
    <row r="11" spans="1:23" ht="18" customHeight="1" x14ac:dyDescent="0.25">
      <c r="A11" s="91" t="s">
        <v>1</v>
      </c>
      <c r="B11" s="4">
        <v>3</v>
      </c>
      <c r="C11" s="6">
        <f>'Working Sheet'!C97</f>
        <v>16397536491</v>
      </c>
      <c r="D11" s="105">
        <f>ROUND(C11/10000000,2)</f>
        <v>1639.75</v>
      </c>
      <c r="F11" s="6"/>
      <c r="G11" s="6">
        <v>20.91</v>
      </c>
      <c r="H11" s="4"/>
      <c r="I11" s="4">
        <v>3</v>
      </c>
      <c r="J11" s="27">
        <f>'Working Sheet'!C94</f>
        <v>15264109169</v>
      </c>
      <c r="K11" s="105">
        <f>ROUND(J11/10000000,2)</f>
        <v>1526.41</v>
      </c>
      <c r="N11" s="6">
        <v>1.04</v>
      </c>
      <c r="O11" s="86"/>
    </row>
    <row r="12" spans="1:23" ht="9" customHeight="1" x14ac:dyDescent="0.25">
      <c r="A12" s="91"/>
      <c r="B12" s="4"/>
      <c r="C12" s="6"/>
      <c r="D12" s="106"/>
      <c r="F12" s="6"/>
      <c r="G12" s="6"/>
      <c r="H12" s="4"/>
      <c r="J12" s="27"/>
      <c r="K12" s="106"/>
      <c r="O12" s="86"/>
    </row>
    <row r="13" spans="1:23" ht="18" customHeight="1" x14ac:dyDescent="0.25">
      <c r="A13" s="91" t="s">
        <v>13</v>
      </c>
      <c r="B13" s="4">
        <v>126</v>
      </c>
      <c r="C13" s="6">
        <f>'Working Sheet'!C103</f>
        <v>55305945469</v>
      </c>
      <c r="D13" s="107">
        <f>ROUND(C13/10000000,2)</f>
        <v>5530.59</v>
      </c>
      <c r="E13" s="14"/>
      <c r="F13" s="6">
        <f>Dividend!B3</f>
        <v>2058229369</v>
      </c>
      <c r="G13" s="109">
        <v>184.91</v>
      </c>
      <c r="H13" s="4"/>
      <c r="I13" s="4">
        <v>126</v>
      </c>
      <c r="J13" s="27">
        <f>'Working Sheet'!C100+720018157+345060000</f>
        <v>54197229524</v>
      </c>
      <c r="K13" s="105">
        <f>ROUNDUP(J13/10000000,2)</f>
        <v>5419.7300000000005</v>
      </c>
      <c r="L13" s="14" t="s">
        <v>17</v>
      </c>
      <c r="M13" s="6">
        <v>338263451</v>
      </c>
      <c r="N13" s="109">
        <v>32.78</v>
      </c>
      <c r="O13" s="86"/>
    </row>
    <row r="14" spans="1:23" ht="9.9499999999999993" customHeight="1" x14ac:dyDescent="0.25">
      <c r="A14" s="91"/>
      <c r="B14" s="4"/>
      <c r="C14" s="6"/>
      <c r="D14" s="106"/>
      <c r="F14" s="6"/>
      <c r="G14" s="106"/>
      <c r="H14" s="4"/>
      <c r="J14" s="27"/>
      <c r="K14" s="106"/>
      <c r="N14" s="106"/>
      <c r="O14" s="86"/>
      <c r="P14" s="5"/>
      <c r="Q14" s="2" t="s">
        <v>47</v>
      </c>
    </row>
    <row r="15" spans="1:23" ht="18" customHeight="1" x14ac:dyDescent="0.25">
      <c r="A15" s="91" t="s">
        <v>12</v>
      </c>
      <c r="B15" s="4">
        <v>41</v>
      </c>
      <c r="C15" s="6">
        <f>'Working Sheet'!C110</f>
        <v>19607171165</v>
      </c>
      <c r="D15" s="105">
        <f>ROUND(C15/10000000,2)</f>
        <v>1960.72</v>
      </c>
      <c r="F15" s="6">
        <f>Dividend!B4</f>
        <v>297593432</v>
      </c>
      <c r="G15" s="109">
        <f>Dividend!D4</f>
        <v>29.76</v>
      </c>
      <c r="H15" s="4"/>
      <c r="I15" s="4">
        <v>40</v>
      </c>
      <c r="J15" s="27">
        <f>'Working Sheet'!C107</f>
        <v>19411236295</v>
      </c>
      <c r="K15" s="105">
        <f>ROUND(J15/10000000,2)</f>
        <v>1941.12</v>
      </c>
      <c r="L15" s="14"/>
      <c r="M15" s="6">
        <v>46776865</v>
      </c>
      <c r="N15" s="109">
        <f>ROUND(M15/10000000,2)</f>
        <v>4.68</v>
      </c>
      <c r="O15" s="86"/>
    </row>
    <row r="16" spans="1:23" ht="9.9499999999999993" customHeight="1" x14ac:dyDescent="0.25">
      <c r="A16" s="91"/>
      <c r="B16" s="4"/>
      <c r="C16" s="6"/>
      <c r="D16" s="106"/>
      <c r="F16" s="6"/>
      <c r="G16" s="106"/>
      <c r="H16" s="4"/>
      <c r="J16" s="27"/>
      <c r="K16" s="106"/>
      <c r="N16" s="106"/>
      <c r="O16" s="86"/>
    </row>
    <row r="17" spans="1:17" ht="18" customHeight="1" x14ac:dyDescent="0.25">
      <c r="A17" s="91" t="s">
        <v>0</v>
      </c>
      <c r="B17" s="4"/>
      <c r="C17" s="6">
        <f>'Working Sheet'!C116</f>
        <v>17899056884</v>
      </c>
      <c r="D17" s="105">
        <f>ROUNDUP(C17/10000000,2)</f>
        <v>1789.91</v>
      </c>
      <c r="E17" s="14" t="s">
        <v>263</v>
      </c>
      <c r="F17" s="6">
        <f>Dividend!B6+Dividend!B7+Dividend!B8</f>
        <v>70994801</v>
      </c>
      <c r="G17" s="109">
        <f>Dividend!D6+Dividend!D7+Dividend!D8</f>
        <v>7.1</v>
      </c>
      <c r="H17" s="4"/>
      <c r="J17" s="27">
        <f>'Working Sheet'!C113</f>
        <v>18219149018</v>
      </c>
      <c r="K17" s="105">
        <f>ROUNDUP(J17/10000000,2)</f>
        <v>1821.92</v>
      </c>
      <c r="M17" s="6">
        <v>104301123</v>
      </c>
      <c r="N17" s="109">
        <f>ROUND(M17/10000000,2)</f>
        <v>10.43</v>
      </c>
      <c r="O17" s="86"/>
      <c r="Q17" s="5"/>
    </row>
    <row r="18" spans="1:17" ht="10.5" customHeight="1" x14ac:dyDescent="0.25">
      <c r="A18" s="91"/>
      <c r="B18" s="4"/>
      <c r="C18" s="6"/>
      <c r="D18" s="106"/>
      <c r="F18" s="4"/>
      <c r="G18" s="106"/>
      <c r="H18" s="4"/>
      <c r="J18" s="27"/>
      <c r="K18" s="106"/>
      <c r="N18" s="106"/>
      <c r="O18" s="86"/>
    </row>
    <row r="19" spans="1:17" s="43" customFormat="1" ht="18" customHeight="1" thickBot="1" x14ac:dyDescent="0.3">
      <c r="A19" s="92" t="s">
        <v>11</v>
      </c>
      <c r="B19" s="40">
        <f>B11+B13+B15</f>
        <v>170</v>
      </c>
      <c r="C19" s="41">
        <f>SUM(C11:C18)</f>
        <v>109209710009</v>
      </c>
      <c r="D19" s="108">
        <f>SUM(D11:D18)</f>
        <v>10920.97</v>
      </c>
      <c r="E19" s="42" t="s">
        <v>264</v>
      </c>
      <c r="F19" s="41">
        <f>F11+F13+F15+F17</f>
        <v>2426817602</v>
      </c>
      <c r="G19" s="104">
        <f>G11+G13+G15+G17</f>
        <v>242.67999999999998</v>
      </c>
      <c r="H19" s="42"/>
      <c r="I19" s="39">
        <f>I11+I13+I15</f>
        <v>169</v>
      </c>
      <c r="J19" s="41">
        <f>J11+J13+J15+J17</f>
        <v>107091724006</v>
      </c>
      <c r="K19" s="108">
        <f>K11+K13+K15+K17</f>
        <v>10709.18</v>
      </c>
      <c r="L19" s="42" t="s">
        <v>265</v>
      </c>
      <c r="M19" s="41">
        <f>SUM(M11:M18)</f>
        <v>489341439</v>
      </c>
      <c r="N19" s="104">
        <f>N11+N13+N15+N17</f>
        <v>48.93</v>
      </c>
      <c r="O19" s="93"/>
    </row>
    <row r="20" spans="1:17" ht="28.5" customHeight="1" x14ac:dyDescent="0.25">
      <c r="A20" s="165" t="s">
        <v>267</v>
      </c>
      <c r="B20" s="166"/>
      <c r="C20" s="166"/>
      <c r="D20" s="166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7"/>
    </row>
    <row r="21" spans="1:17" ht="15.75" x14ac:dyDescent="0.25">
      <c r="A21" s="161" t="s">
        <v>268</v>
      </c>
      <c r="B21" s="162"/>
      <c r="C21" s="162"/>
      <c r="D21" s="162"/>
      <c r="E21" s="162"/>
      <c r="F21" s="162"/>
      <c r="G21" s="162"/>
      <c r="H21" s="162"/>
      <c r="I21" s="162"/>
      <c r="J21" s="162"/>
      <c r="K21" s="162"/>
      <c r="L21" s="14"/>
      <c r="O21" s="94"/>
    </row>
    <row r="22" spans="1:17" ht="15" customHeight="1" x14ac:dyDescent="0.25">
      <c r="A22" s="158" t="s">
        <v>273</v>
      </c>
      <c r="B22" s="159"/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60"/>
      <c r="O22" s="94"/>
    </row>
    <row r="23" spans="1:17" ht="15.75" x14ac:dyDescent="0.25">
      <c r="A23" s="95" t="s">
        <v>269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94"/>
    </row>
    <row r="24" spans="1:17" ht="13.7" customHeight="1" x14ac:dyDescent="0.25">
      <c r="A24" s="96" t="s">
        <v>253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94"/>
    </row>
    <row r="25" spans="1:17" s="3" customFormat="1" ht="15.75" x14ac:dyDescent="0.25">
      <c r="A25" s="96" t="s">
        <v>260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97"/>
      <c r="Q25" s="13"/>
    </row>
    <row r="26" spans="1:17" s="3" customFormat="1" ht="15.75" x14ac:dyDescent="0.25">
      <c r="A26" s="96" t="s">
        <v>261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97"/>
      <c r="Q26" s="13"/>
    </row>
    <row r="27" spans="1:17" s="3" customFormat="1" ht="15.75" x14ac:dyDescent="0.25">
      <c r="A27" s="96" t="s">
        <v>262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97"/>
      <c r="Q27" s="13"/>
    </row>
    <row r="28" spans="1:17" s="3" customFormat="1" ht="15.75" x14ac:dyDescent="0.25">
      <c r="A28" s="96" t="s">
        <v>254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97"/>
      <c r="Q28" s="13"/>
    </row>
    <row r="29" spans="1:17" s="3" customFormat="1" ht="15.75" x14ac:dyDescent="0.25">
      <c r="A29" s="163" t="s">
        <v>266</v>
      </c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52"/>
      <c r="M29" s="52"/>
      <c r="N29" s="52"/>
      <c r="O29" s="97"/>
      <c r="Q29" s="13"/>
    </row>
    <row r="30" spans="1:17" s="3" customFormat="1" ht="16.5" customHeight="1" x14ac:dyDescent="0.25">
      <c r="A30" s="145" t="s">
        <v>188</v>
      </c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97"/>
      <c r="Q30" s="13"/>
    </row>
    <row r="31" spans="1:17" s="3" customFormat="1" ht="13.7" customHeight="1" x14ac:dyDescent="0.25">
      <c r="A31" s="98"/>
      <c r="B31" s="2"/>
      <c r="C31" s="5"/>
      <c r="D31" s="5"/>
      <c r="E31" s="15"/>
      <c r="F31" s="5"/>
      <c r="G31" s="5"/>
      <c r="H31" s="2"/>
      <c r="I31" s="6"/>
      <c r="J31" s="5"/>
      <c r="K31" s="5"/>
      <c r="L31" s="1"/>
      <c r="M31" s="6"/>
      <c r="N31" s="6"/>
      <c r="O31" s="97"/>
      <c r="Q31" s="13"/>
    </row>
    <row r="32" spans="1:17" s="3" customFormat="1" ht="15.75" x14ac:dyDescent="0.25">
      <c r="A32" s="99"/>
      <c r="B32" s="100"/>
      <c r="C32" s="101"/>
      <c r="D32" s="101"/>
      <c r="E32" s="102"/>
      <c r="F32" s="101"/>
      <c r="G32" s="101"/>
      <c r="H32" s="101"/>
      <c r="I32" s="17"/>
      <c r="J32" s="17"/>
      <c r="K32" s="17"/>
      <c r="L32" s="18"/>
      <c r="M32" s="17"/>
      <c r="N32" s="17"/>
      <c r="O32" s="103"/>
    </row>
    <row r="33" spans="4:10" ht="18" customHeight="1" x14ac:dyDescent="0.25">
      <c r="J33" s="6">
        <f>F13-2162719508</f>
        <v>-104490139</v>
      </c>
    </row>
    <row r="34" spans="4:10" ht="18" customHeight="1" x14ac:dyDescent="0.25">
      <c r="F34" s="5"/>
    </row>
    <row r="35" spans="4:10" ht="18" customHeight="1" x14ac:dyDescent="0.25">
      <c r="D35" s="2" t="s">
        <v>208</v>
      </c>
    </row>
  </sheetData>
  <mergeCells count="10">
    <mergeCell ref="A30:N30"/>
    <mergeCell ref="A1:O1"/>
    <mergeCell ref="B4:F4"/>
    <mergeCell ref="I4:O4"/>
    <mergeCell ref="A9:N9"/>
    <mergeCell ref="A2:N2"/>
    <mergeCell ref="A22:N22"/>
    <mergeCell ref="A21:K21"/>
    <mergeCell ref="A29:K29"/>
    <mergeCell ref="A20:O20"/>
  </mergeCells>
  <phoneticPr fontId="1" type="noConversion"/>
  <printOptions horizontalCentered="1"/>
  <pageMargins left="0.51181102362204722" right="0.51181102362204722" top="0.55118110236220474" bottom="0.98425196850393704" header="0.51181102362204722" footer="0.9055118110236221"/>
  <pageSetup paperSize="9" scale="86" firstPageNumber="43" orientation="landscape" useFirstPageNumber="1" r:id="rId1"/>
  <headerFooter alignWithMargins="0">
    <oddFooter>&amp;C&amp;"Arial,Regular"&amp;9&amp;P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D4"/>
  <sheetViews>
    <sheetView view="pageBreakPreview" zoomScaleNormal="100" zoomScaleSheetLayoutView="100" workbookViewId="0">
      <selection activeCell="E10" sqref="E10"/>
    </sheetView>
  </sheetViews>
  <sheetFormatPr defaultRowHeight="15.75" x14ac:dyDescent="0.25"/>
  <cols>
    <col min="1" max="1" width="13.33203125" customWidth="1"/>
    <col min="2" max="2" width="13.77734375" customWidth="1"/>
    <col min="3" max="3" width="18.33203125" hidden="1" customWidth="1"/>
    <col min="4" max="4" width="35.21875" customWidth="1"/>
  </cols>
  <sheetData>
    <row r="1" spans="1:4" x14ac:dyDescent="0.25">
      <c r="A1" s="150" t="s">
        <v>244</v>
      </c>
      <c r="B1" s="150"/>
      <c r="C1" s="150"/>
      <c r="D1" s="150"/>
    </row>
    <row r="2" spans="1:4" ht="47.25" x14ac:dyDescent="0.25">
      <c r="A2" s="2" t="s">
        <v>240</v>
      </c>
      <c r="B2" s="5">
        <v>720018157</v>
      </c>
      <c r="C2" s="2"/>
      <c r="D2" s="82" t="s">
        <v>241</v>
      </c>
    </row>
    <row r="3" spans="1:4" ht="47.25" x14ac:dyDescent="0.25">
      <c r="A3" s="2" t="s">
        <v>242</v>
      </c>
      <c r="B3" s="5">
        <v>345060000</v>
      </c>
      <c r="C3" s="2"/>
      <c r="D3" s="82" t="s">
        <v>243</v>
      </c>
    </row>
    <row r="4" spans="1:4" x14ac:dyDescent="0.25">
      <c r="A4" s="2"/>
      <c r="B4" s="20">
        <f>SUM(B2:B3)</f>
        <v>1065078157</v>
      </c>
      <c r="C4" s="2"/>
    </row>
  </sheetData>
  <mergeCells count="1">
    <mergeCell ref="A1:D1"/>
  </mergeCells>
  <printOptions horizontalCentered="1"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7"/>
  <sheetViews>
    <sheetView zoomScale="70" zoomScaleNormal="70" workbookViewId="0">
      <selection activeCell="J8" sqref="J8"/>
    </sheetView>
  </sheetViews>
  <sheetFormatPr defaultColWidth="8.77734375" defaultRowHeight="15.75" x14ac:dyDescent="0.25"/>
  <cols>
    <col min="1" max="1" width="2.21875" style="67" customWidth="1"/>
    <col min="2" max="3" width="7.21875" style="67" customWidth="1"/>
    <col min="4" max="4" width="7.88671875" style="67" customWidth="1"/>
    <col min="5" max="5" width="8.77734375" style="67" customWidth="1"/>
    <col min="6" max="6" width="7.44140625" style="67" customWidth="1"/>
    <col min="7" max="7" width="7.88671875" style="67" customWidth="1"/>
    <col min="8" max="8" width="26.33203125" style="134" bestFit="1" customWidth="1"/>
    <col min="9" max="9" width="14.88671875" style="128" customWidth="1"/>
    <col min="10" max="12" width="8.77734375" style="67"/>
    <col min="13" max="13" width="14.77734375" style="67" customWidth="1"/>
    <col min="14" max="14" width="15.77734375" style="67" customWidth="1"/>
    <col min="15" max="15" width="18.77734375" style="67" customWidth="1"/>
    <col min="16" max="16384" width="8.77734375" style="67"/>
  </cols>
  <sheetData>
    <row r="1" spans="1:15" x14ac:dyDescent="0.25">
      <c r="A1" s="66" t="s">
        <v>144</v>
      </c>
      <c r="B1" s="66" t="s">
        <v>48</v>
      </c>
      <c r="C1" s="66" t="s">
        <v>145</v>
      </c>
      <c r="D1" s="66" t="s">
        <v>220</v>
      </c>
      <c r="E1" s="66" t="s">
        <v>221</v>
      </c>
      <c r="F1" s="66" t="s">
        <v>123</v>
      </c>
      <c r="G1" s="66" t="s">
        <v>124</v>
      </c>
      <c r="H1" s="132" t="s">
        <v>96</v>
      </c>
      <c r="I1" s="133" t="s">
        <v>125</v>
      </c>
    </row>
    <row r="2" spans="1:15" x14ac:dyDescent="0.25">
      <c r="A2" s="67" t="s">
        <v>150</v>
      </c>
      <c r="B2" s="68" t="s">
        <v>222</v>
      </c>
      <c r="C2" s="68" t="s">
        <v>49</v>
      </c>
      <c r="D2" s="68" t="s">
        <v>213</v>
      </c>
      <c r="E2" s="68" t="s">
        <v>183</v>
      </c>
      <c r="F2" s="68" t="s">
        <v>187</v>
      </c>
      <c r="G2" s="68" t="s">
        <v>56</v>
      </c>
      <c r="H2" s="127" t="s">
        <v>97</v>
      </c>
      <c r="I2" s="128">
        <v>4600000</v>
      </c>
    </row>
    <row r="3" spans="1:15" ht="47.25" x14ac:dyDescent="0.25">
      <c r="A3" s="67" t="s">
        <v>151</v>
      </c>
      <c r="B3" s="68" t="s">
        <v>222</v>
      </c>
      <c r="C3" s="68" t="s">
        <v>49</v>
      </c>
      <c r="D3" s="68" t="s">
        <v>63</v>
      </c>
      <c r="E3" s="68" t="s">
        <v>183</v>
      </c>
      <c r="F3" s="68" t="s">
        <v>187</v>
      </c>
      <c r="G3" s="68" t="s">
        <v>56</v>
      </c>
      <c r="H3" s="127" t="s">
        <v>98</v>
      </c>
      <c r="I3" s="128">
        <v>11000000</v>
      </c>
      <c r="M3" s="2">
        <v>4216</v>
      </c>
      <c r="N3" s="2" t="s">
        <v>27</v>
      </c>
      <c r="O3" s="73">
        <f>I2</f>
        <v>4600000</v>
      </c>
    </row>
    <row r="4" spans="1:15" ht="31.5" x14ac:dyDescent="0.25">
      <c r="A4" s="67" t="s">
        <v>155</v>
      </c>
      <c r="B4" s="68" t="s">
        <v>222</v>
      </c>
      <c r="C4" s="68" t="s">
        <v>49</v>
      </c>
      <c r="D4" s="68" t="s">
        <v>214</v>
      </c>
      <c r="E4" s="68" t="s">
        <v>70</v>
      </c>
      <c r="F4" s="68" t="s">
        <v>187</v>
      </c>
      <c r="G4" s="68" t="s">
        <v>66</v>
      </c>
      <c r="H4" s="127" t="s">
        <v>135</v>
      </c>
      <c r="I4" s="128">
        <v>15220228</v>
      </c>
      <c r="M4" s="2">
        <v>4408</v>
      </c>
      <c r="N4" s="2" t="s">
        <v>111</v>
      </c>
      <c r="O4" s="73">
        <f>I6</f>
        <v>2284570</v>
      </c>
    </row>
    <row r="5" spans="1:15" x14ac:dyDescent="0.25">
      <c r="A5" s="67" t="s">
        <v>146</v>
      </c>
      <c r="B5" s="68" t="s">
        <v>222</v>
      </c>
      <c r="C5" s="68" t="s">
        <v>49</v>
      </c>
      <c r="D5" s="68" t="s">
        <v>214</v>
      </c>
      <c r="E5" s="68" t="s">
        <v>70</v>
      </c>
      <c r="F5" s="68" t="s">
        <v>187</v>
      </c>
      <c r="G5" s="68" t="s">
        <v>58</v>
      </c>
      <c r="H5" s="127" t="s">
        <v>99</v>
      </c>
      <c r="I5" s="128">
        <v>14664114</v>
      </c>
      <c r="M5" s="2">
        <v>4851</v>
      </c>
      <c r="N5" s="2" t="s">
        <v>28</v>
      </c>
      <c r="O5" s="73">
        <f>I7+I8+I9+I10+I11+I12</f>
        <v>30234510</v>
      </c>
    </row>
    <row r="6" spans="1:15" ht="47.25" x14ac:dyDescent="0.25">
      <c r="A6" s="67" t="s">
        <v>156</v>
      </c>
      <c r="B6" s="68" t="s">
        <v>222</v>
      </c>
      <c r="C6" s="68" t="s">
        <v>49</v>
      </c>
      <c r="D6" s="68" t="s">
        <v>100</v>
      </c>
      <c r="E6" s="68" t="s">
        <v>61</v>
      </c>
      <c r="F6" s="68" t="s">
        <v>187</v>
      </c>
      <c r="G6" s="68" t="s">
        <v>185</v>
      </c>
      <c r="H6" s="127" t="s">
        <v>101</v>
      </c>
      <c r="I6" s="128">
        <v>2284570</v>
      </c>
      <c r="M6" s="2" t="s">
        <v>29</v>
      </c>
      <c r="N6" s="2" t="s">
        <v>112</v>
      </c>
      <c r="O6" s="73">
        <v>8656700</v>
      </c>
    </row>
    <row r="7" spans="1:15" ht="31.5" x14ac:dyDescent="0.25">
      <c r="A7" s="67" t="s">
        <v>149</v>
      </c>
      <c r="B7" s="68" t="s">
        <v>222</v>
      </c>
      <c r="C7" s="68" t="s">
        <v>49</v>
      </c>
      <c r="D7" s="68" t="s">
        <v>77</v>
      </c>
      <c r="E7" s="68" t="s">
        <v>70</v>
      </c>
      <c r="F7" s="68" t="s">
        <v>187</v>
      </c>
      <c r="G7" s="68" t="s">
        <v>137</v>
      </c>
      <c r="H7" s="127" t="s">
        <v>136</v>
      </c>
      <c r="I7" s="128">
        <v>-50000</v>
      </c>
      <c r="M7" s="2" t="s">
        <v>31</v>
      </c>
      <c r="N7" s="2" t="s">
        <v>113</v>
      </c>
      <c r="O7" s="73"/>
    </row>
    <row r="8" spans="1:15" ht="31.5" x14ac:dyDescent="0.25">
      <c r="A8" s="67" t="s">
        <v>157</v>
      </c>
      <c r="B8" s="68" t="s">
        <v>222</v>
      </c>
      <c r="C8" s="68" t="s">
        <v>49</v>
      </c>
      <c r="D8" s="68" t="s">
        <v>77</v>
      </c>
      <c r="E8" s="68" t="s">
        <v>70</v>
      </c>
      <c r="F8" s="68" t="s">
        <v>187</v>
      </c>
      <c r="G8" s="68" t="s">
        <v>182</v>
      </c>
      <c r="H8" s="127" t="s">
        <v>105</v>
      </c>
      <c r="I8" s="128">
        <v>1198802</v>
      </c>
      <c r="M8" s="2" t="s">
        <v>32</v>
      </c>
      <c r="N8" s="2" t="s">
        <v>114</v>
      </c>
      <c r="O8" s="73">
        <v>3376094</v>
      </c>
    </row>
    <row r="9" spans="1:15" ht="47.25" x14ac:dyDescent="0.25">
      <c r="A9" s="67" t="s">
        <v>158</v>
      </c>
      <c r="B9" s="68" t="s">
        <v>222</v>
      </c>
      <c r="C9" s="68" t="s">
        <v>49</v>
      </c>
      <c r="D9" s="68" t="s">
        <v>77</v>
      </c>
      <c r="E9" s="68" t="s">
        <v>70</v>
      </c>
      <c r="F9" s="68" t="s">
        <v>187</v>
      </c>
      <c r="G9" s="68" t="s">
        <v>184</v>
      </c>
      <c r="H9" s="127" t="s">
        <v>103</v>
      </c>
      <c r="I9" s="128">
        <v>1020000</v>
      </c>
      <c r="M9" s="2">
        <v>4405</v>
      </c>
      <c r="N9" s="2" t="s">
        <v>116</v>
      </c>
      <c r="O9" s="73"/>
    </row>
    <row r="10" spans="1:15" ht="63" x14ac:dyDescent="0.25">
      <c r="A10" s="67" t="s">
        <v>154</v>
      </c>
      <c r="B10" s="68" t="s">
        <v>222</v>
      </c>
      <c r="C10" s="68" t="s">
        <v>49</v>
      </c>
      <c r="D10" s="68" t="s">
        <v>77</v>
      </c>
      <c r="E10" s="68" t="s">
        <v>70</v>
      </c>
      <c r="F10" s="68" t="s">
        <v>187</v>
      </c>
      <c r="G10" s="68" t="s">
        <v>82</v>
      </c>
      <c r="H10" s="127" t="s">
        <v>102</v>
      </c>
      <c r="I10" s="128">
        <v>5939600</v>
      </c>
      <c r="M10" s="2">
        <v>4860</v>
      </c>
      <c r="N10" s="2" t="s">
        <v>117</v>
      </c>
      <c r="O10" s="73">
        <f>I13</f>
        <v>3500000</v>
      </c>
    </row>
    <row r="11" spans="1:15" ht="31.5" x14ac:dyDescent="0.25">
      <c r="A11" s="67" t="s">
        <v>147</v>
      </c>
      <c r="B11" s="68" t="s">
        <v>222</v>
      </c>
      <c r="C11" s="68" t="s">
        <v>49</v>
      </c>
      <c r="D11" s="68" t="s">
        <v>77</v>
      </c>
      <c r="E11" s="68" t="s">
        <v>70</v>
      </c>
      <c r="F11" s="68" t="s">
        <v>187</v>
      </c>
      <c r="G11" s="68" t="s">
        <v>71</v>
      </c>
      <c r="H11" s="127" t="s">
        <v>104</v>
      </c>
      <c r="I11" s="128">
        <v>14575000</v>
      </c>
      <c r="M11" s="2">
        <v>4404</v>
      </c>
      <c r="N11" s="2" t="s">
        <v>118</v>
      </c>
      <c r="O11" s="73">
        <f>I4+I5</f>
        <v>29884342</v>
      </c>
    </row>
    <row r="12" spans="1:15" ht="31.5" x14ac:dyDescent="0.25">
      <c r="A12" s="67" t="s">
        <v>153</v>
      </c>
      <c r="B12" s="68" t="s">
        <v>222</v>
      </c>
      <c r="C12" s="68" t="s">
        <v>49</v>
      </c>
      <c r="D12" s="68" t="s">
        <v>77</v>
      </c>
      <c r="E12" s="68" t="s">
        <v>70</v>
      </c>
      <c r="F12" s="68" t="s">
        <v>187</v>
      </c>
      <c r="G12" s="68" t="s">
        <v>56</v>
      </c>
      <c r="H12" s="127" t="s">
        <v>215</v>
      </c>
      <c r="I12" s="128">
        <v>7551108</v>
      </c>
      <c r="M12" s="2">
        <v>4225</v>
      </c>
      <c r="N12" s="2"/>
      <c r="O12" s="73">
        <f>I3</f>
        <v>11000000</v>
      </c>
    </row>
    <row r="13" spans="1:15" ht="31.5" x14ac:dyDescent="0.25">
      <c r="A13" s="67" t="s">
        <v>152</v>
      </c>
      <c r="B13" s="68" t="s">
        <v>222</v>
      </c>
      <c r="C13" s="68" t="s">
        <v>49</v>
      </c>
      <c r="D13" s="68" t="s">
        <v>83</v>
      </c>
      <c r="E13" s="68" t="s">
        <v>64</v>
      </c>
      <c r="F13" s="68" t="s">
        <v>187</v>
      </c>
      <c r="G13" s="68" t="s">
        <v>106</v>
      </c>
      <c r="H13" s="127" t="s">
        <v>107</v>
      </c>
      <c r="I13" s="128">
        <v>3500000</v>
      </c>
      <c r="M13" s="2">
        <v>4425</v>
      </c>
      <c r="N13" s="2" t="s">
        <v>115</v>
      </c>
      <c r="O13" s="73">
        <v>61446451</v>
      </c>
    </row>
    <row r="14" spans="1:15" x14ac:dyDescent="0.25">
      <c r="M14" s="2"/>
      <c r="N14" s="19"/>
      <c r="O14" s="79">
        <f>SUM(O3:O13)</f>
        <v>154982667</v>
      </c>
    </row>
    <row r="15" spans="1:15" x14ac:dyDescent="0.25">
      <c r="I15" s="133">
        <f>SUM(I2:I14)</f>
        <v>81503422</v>
      </c>
    </row>
    <row r="17" spans="15:15" x14ac:dyDescent="0.25">
      <c r="O17" s="14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29"/>
  <sheetViews>
    <sheetView view="pageBreakPreview" zoomScaleSheetLayoutView="100" workbookViewId="0">
      <selection activeCell="A16" sqref="A16"/>
    </sheetView>
  </sheetViews>
  <sheetFormatPr defaultRowHeight="15.75" x14ac:dyDescent="0.25"/>
  <cols>
    <col min="1" max="1" width="50.5546875" style="26" customWidth="1"/>
    <col min="2" max="2" width="13.77734375" style="138" hidden="1" customWidth="1"/>
    <col min="3" max="3" width="12.33203125" style="26" bestFit="1" customWidth="1"/>
    <col min="4" max="4" width="10.33203125" style="26" customWidth="1"/>
  </cols>
  <sheetData>
    <row r="1" spans="1:4" x14ac:dyDescent="0.25">
      <c r="A1" s="168" t="s">
        <v>18</v>
      </c>
      <c r="B1" s="168"/>
      <c r="C1" s="169"/>
      <c r="D1" s="169"/>
    </row>
    <row r="2" spans="1:4" x14ac:dyDescent="0.25">
      <c r="A2" s="45" t="s">
        <v>19</v>
      </c>
      <c r="B2" s="135" t="s">
        <v>222</v>
      </c>
      <c r="C2" s="45" t="s">
        <v>191</v>
      </c>
      <c r="D2" s="44" t="s">
        <v>121</v>
      </c>
    </row>
    <row r="3" spans="1:4" hidden="1" x14ac:dyDescent="0.25">
      <c r="A3" s="46" t="s">
        <v>126</v>
      </c>
      <c r="B3" s="136"/>
      <c r="D3" s="25"/>
    </row>
    <row r="4" spans="1:4" x14ac:dyDescent="0.25">
      <c r="A4" s="46" t="s">
        <v>62</v>
      </c>
      <c r="B4" s="136">
        <v>221195996</v>
      </c>
      <c r="C4" s="25">
        <f>6950+951.22+2211.96</f>
        <v>10113.18</v>
      </c>
      <c r="D4" s="25">
        <f>ROUND(C4/100,2)</f>
        <v>101.13</v>
      </c>
    </row>
    <row r="5" spans="1:4" x14ac:dyDescent="0.25">
      <c r="A5" s="46" t="s">
        <v>127</v>
      </c>
      <c r="B5" s="136"/>
      <c r="C5" s="26">
        <v>550</v>
      </c>
      <c r="D5" s="25">
        <f t="shared" ref="D5:D28" si="0">ROUND(C5/100,2)</f>
        <v>5.5</v>
      </c>
    </row>
    <row r="6" spans="1:4" ht="31.5" x14ac:dyDescent="0.25">
      <c r="A6" s="46" t="s">
        <v>130</v>
      </c>
      <c r="B6" s="136"/>
      <c r="D6" s="25">
        <f t="shared" si="0"/>
        <v>0</v>
      </c>
    </row>
    <row r="7" spans="1:4" ht="18.600000000000001" customHeight="1" x14ac:dyDescent="0.25">
      <c r="A7" s="46" t="s">
        <v>87</v>
      </c>
      <c r="B7" s="136"/>
      <c r="C7" s="26">
        <v>300</v>
      </c>
      <c r="D7" s="25">
        <f t="shared" si="0"/>
        <v>3</v>
      </c>
    </row>
    <row r="8" spans="1:4" ht="19.149999999999999" customHeight="1" x14ac:dyDescent="0.25">
      <c r="A8" s="46" t="s">
        <v>132</v>
      </c>
      <c r="B8" s="136">
        <v>76800000</v>
      </c>
      <c r="C8" s="26">
        <f>1639.77+616+768</f>
        <v>3023.77</v>
      </c>
      <c r="D8" s="25">
        <f t="shared" si="0"/>
        <v>30.24</v>
      </c>
    </row>
    <row r="9" spans="1:4" x14ac:dyDescent="0.25">
      <c r="A9" s="46" t="s">
        <v>134</v>
      </c>
      <c r="B9" s="136"/>
      <c r="D9" s="25">
        <f t="shared" si="0"/>
        <v>0</v>
      </c>
    </row>
    <row r="10" spans="1:4" x14ac:dyDescent="0.25">
      <c r="A10" s="24" t="s">
        <v>192</v>
      </c>
      <c r="B10" s="137"/>
      <c r="D10" s="25">
        <f t="shared" si="0"/>
        <v>0</v>
      </c>
    </row>
    <row r="11" spans="1:4" x14ac:dyDescent="0.25">
      <c r="A11" s="46" t="s">
        <v>218</v>
      </c>
      <c r="B11" s="136"/>
      <c r="D11" s="25">
        <f t="shared" si="0"/>
        <v>0</v>
      </c>
    </row>
    <row r="12" spans="1:4" x14ac:dyDescent="0.25">
      <c r="A12" s="26" t="s">
        <v>193</v>
      </c>
      <c r="C12" s="26">
        <f>7230+1500+9200</f>
        <v>17930</v>
      </c>
      <c r="D12" s="25">
        <f t="shared" si="0"/>
        <v>179.3</v>
      </c>
    </row>
    <row r="13" spans="1:4" x14ac:dyDescent="0.25">
      <c r="A13" s="26" t="s">
        <v>194</v>
      </c>
      <c r="C13" s="25">
        <v>3120</v>
      </c>
      <c r="D13" s="25">
        <f t="shared" si="0"/>
        <v>31.2</v>
      </c>
    </row>
    <row r="14" spans="1:4" x14ac:dyDescent="0.25">
      <c r="A14" s="26" t="s">
        <v>195</v>
      </c>
      <c r="C14" s="25">
        <v>1</v>
      </c>
      <c r="D14" s="25">
        <f t="shared" si="0"/>
        <v>0.01</v>
      </c>
    </row>
    <row r="15" spans="1:4" x14ac:dyDescent="0.25">
      <c r="A15" s="26" t="s">
        <v>196</v>
      </c>
      <c r="C15" s="25">
        <v>355</v>
      </c>
      <c r="D15" s="25">
        <f t="shared" si="0"/>
        <v>3.55</v>
      </c>
    </row>
    <row r="16" spans="1:4" x14ac:dyDescent="0.25">
      <c r="A16" s="26" t="s">
        <v>197</v>
      </c>
      <c r="C16" s="26">
        <v>500</v>
      </c>
      <c r="D16" s="25">
        <f t="shared" si="0"/>
        <v>5</v>
      </c>
    </row>
    <row r="17" spans="1:4" x14ac:dyDescent="0.25">
      <c r="A17" s="26" t="s">
        <v>198</v>
      </c>
      <c r="B17" s="138">
        <v>1048554</v>
      </c>
      <c r="C17" s="26">
        <f>527.05+10.49</f>
        <v>537.54</v>
      </c>
      <c r="D17" s="25">
        <f t="shared" si="0"/>
        <v>5.38</v>
      </c>
    </row>
    <row r="18" spans="1:4" x14ac:dyDescent="0.25">
      <c r="A18" s="26" t="s">
        <v>199</v>
      </c>
      <c r="C18" s="26">
        <v>425</v>
      </c>
      <c r="D18" s="25">
        <f t="shared" si="0"/>
        <v>4.25</v>
      </c>
    </row>
    <row r="19" spans="1:4" x14ac:dyDescent="0.25">
      <c r="A19" s="26" t="s">
        <v>200</v>
      </c>
      <c r="C19" s="26">
        <v>1</v>
      </c>
      <c r="D19" s="25">
        <f t="shared" si="0"/>
        <v>0.01</v>
      </c>
    </row>
    <row r="20" spans="1:4" x14ac:dyDescent="0.25">
      <c r="A20" s="26" t="s">
        <v>201</v>
      </c>
      <c r="D20" s="25">
        <f t="shared" si="0"/>
        <v>0</v>
      </c>
    </row>
    <row r="21" spans="1:4" x14ac:dyDescent="0.25">
      <c r="A21" s="47" t="s">
        <v>202</v>
      </c>
      <c r="B21" s="139"/>
      <c r="C21" s="26">
        <v>250</v>
      </c>
      <c r="D21" s="25">
        <f t="shared" si="0"/>
        <v>2.5</v>
      </c>
    </row>
    <row r="22" spans="1:4" ht="15.6" customHeight="1" x14ac:dyDescent="0.25">
      <c r="A22" s="24" t="s">
        <v>203</v>
      </c>
      <c r="B22" s="137"/>
      <c r="C22" s="26">
        <v>40000</v>
      </c>
      <c r="D22" s="25">
        <f t="shared" si="0"/>
        <v>400</v>
      </c>
    </row>
    <row r="23" spans="1:4" x14ac:dyDescent="0.25">
      <c r="A23" s="24" t="s">
        <v>204</v>
      </c>
      <c r="B23" s="137"/>
      <c r="C23" s="26">
        <v>299</v>
      </c>
      <c r="D23" s="25">
        <f t="shared" si="0"/>
        <v>2.99</v>
      </c>
    </row>
    <row r="24" spans="1:4" x14ac:dyDescent="0.25">
      <c r="A24" s="24" t="s">
        <v>205</v>
      </c>
      <c r="B24" s="137"/>
      <c r="D24" s="25">
        <f t="shared" si="0"/>
        <v>0</v>
      </c>
    </row>
    <row r="25" spans="1:4" x14ac:dyDescent="0.25">
      <c r="A25" s="24" t="s">
        <v>247</v>
      </c>
      <c r="B25" s="138">
        <v>6000000</v>
      </c>
      <c r="C25" s="26">
        <v>60</v>
      </c>
      <c r="D25" s="25">
        <f t="shared" si="0"/>
        <v>0.6</v>
      </c>
    </row>
    <row r="26" spans="1:4" x14ac:dyDescent="0.25">
      <c r="A26" s="24" t="s">
        <v>248</v>
      </c>
      <c r="B26" s="138">
        <v>47300000</v>
      </c>
      <c r="C26" s="26">
        <v>473</v>
      </c>
      <c r="D26" s="25">
        <f t="shared" si="0"/>
        <v>4.7300000000000004</v>
      </c>
    </row>
    <row r="27" spans="1:4" ht="16.899999999999999" customHeight="1" x14ac:dyDescent="0.25">
      <c r="A27" s="24" t="s">
        <v>249</v>
      </c>
      <c r="B27" s="138">
        <v>674715648</v>
      </c>
      <c r="C27" s="26">
        <v>6747.16</v>
      </c>
      <c r="D27" s="25">
        <f t="shared" si="0"/>
        <v>67.47</v>
      </c>
    </row>
    <row r="28" spans="1:4" x14ac:dyDescent="0.25">
      <c r="A28" s="24" t="s">
        <v>250</v>
      </c>
      <c r="B28" s="138">
        <v>-79049950</v>
      </c>
      <c r="C28" s="26">
        <v>-790.5</v>
      </c>
      <c r="D28" s="25">
        <f t="shared" si="0"/>
        <v>-7.91</v>
      </c>
    </row>
    <row r="29" spans="1:4" x14ac:dyDescent="0.25">
      <c r="A29" s="48" t="s">
        <v>11</v>
      </c>
      <c r="B29" s="138">
        <f>SUM(B4:B28)</f>
        <v>948010248</v>
      </c>
      <c r="C29" s="45">
        <f>SUM(C3:C28)</f>
        <v>83895.15</v>
      </c>
      <c r="D29" s="45">
        <f>SUM(D3:D28)</f>
        <v>838.95</v>
      </c>
    </row>
  </sheetData>
  <mergeCells count="1">
    <mergeCell ref="A1:D1"/>
  </mergeCells>
  <printOptions horizontalCentered="1" gridLines="1"/>
  <pageMargins left="0.7" right="0.7" top="0.75" bottom="0.75" header="0.3" footer="0.3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R49"/>
  <sheetViews>
    <sheetView view="pageBreakPreview" topLeftCell="C1" zoomScaleSheetLayoutView="100" workbookViewId="0">
      <selection activeCell="C1" sqref="C1"/>
    </sheetView>
  </sheetViews>
  <sheetFormatPr defaultColWidth="8.88671875" defaultRowHeight="15.75" x14ac:dyDescent="0.25"/>
  <cols>
    <col min="1" max="1" width="8.77734375" style="32" hidden="1" customWidth="1"/>
    <col min="2" max="2" width="6.77734375" style="32" hidden="1" customWidth="1"/>
    <col min="3" max="3" width="8.21875" style="32" bestFit="1" customWidth="1"/>
    <col min="4" max="4" width="9.21875" style="32" bestFit="1" customWidth="1"/>
    <col min="5" max="5" width="7.88671875" style="32" bestFit="1" customWidth="1"/>
    <col min="6" max="6" width="7.44140625" style="32" customWidth="1"/>
    <col min="7" max="7" width="22.6640625" style="121" hidden="1" customWidth="1"/>
    <col min="8" max="8" width="15" style="78" bestFit="1" customWidth="1"/>
    <col min="9" max="9" width="14.6640625" bestFit="1" customWidth="1"/>
    <col min="10" max="11" width="0.21875" style="28" customWidth="1"/>
    <col min="12" max="12" width="7.21875" style="125" customWidth="1"/>
    <col min="13" max="13" width="5.88671875" style="118" customWidth="1"/>
    <col min="14" max="14" width="8.44140625" style="26" bestFit="1" customWidth="1"/>
    <col min="15" max="15" width="14.77734375" style="26" customWidth="1"/>
    <col min="16" max="16" width="0.33203125" style="119" customWidth="1"/>
    <col min="17" max="17" width="13.109375" style="26" customWidth="1"/>
    <col min="18" max="18" width="12.21875" bestFit="1" customWidth="1"/>
  </cols>
  <sheetData>
    <row r="1" spans="1:18" s="110" customFormat="1" ht="18" customHeight="1" x14ac:dyDescent="0.25">
      <c r="A1" s="31" t="s">
        <v>48</v>
      </c>
      <c r="B1" s="31" t="s">
        <v>145</v>
      </c>
      <c r="C1" s="31" t="s">
        <v>220</v>
      </c>
      <c r="D1" s="31" t="s">
        <v>221</v>
      </c>
      <c r="E1" s="31" t="s">
        <v>123</v>
      </c>
      <c r="F1" s="31" t="s">
        <v>124</v>
      </c>
      <c r="G1" s="55" t="s">
        <v>96</v>
      </c>
      <c r="H1" s="73" t="s">
        <v>125</v>
      </c>
      <c r="J1" s="111" t="s">
        <v>48</v>
      </c>
      <c r="K1" s="111" t="s">
        <v>49</v>
      </c>
      <c r="L1" s="122" t="s">
        <v>50</v>
      </c>
      <c r="M1" s="113" t="s">
        <v>95</v>
      </c>
      <c r="N1" s="112" t="s">
        <v>51</v>
      </c>
      <c r="O1" s="112" t="s">
        <v>52</v>
      </c>
      <c r="P1" s="114" t="s">
        <v>96</v>
      </c>
      <c r="Q1" s="112" t="s">
        <v>20</v>
      </c>
    </row>
    <row r="2" spans="1:18" ht="14.25" customHeight="1" x14ac:dyDescent="0.25">
      <c r="A2" s="115" t="s">
        <v>222</v>
      </c>
      <c r="B2" s="115" t="s">
        <v>49</v>
      </c>
      <c r="C2" s="115" t="s">
        <v>53</v>
      </c>
      <c r="D2" s="115" t="s">
        <v>54</v>
      </c>
      <c r="E2" s="115" t="s">
        <v>55</v>
      </c>
      <c r="F2" s="115" t="s">
        <v>56</v>
      </c>
      <c r="G2" s="116" t="s">
        <v>22</v>
      </c>
      <c r="H2" s="78">
        <v>34000000</v>
      </c>
      <c r="I2" s="129">
        <f>H2</f>
        <v>34000000</v>
      </c>
      <c r="J2" s="68" t="s">
        <v>222</v>
      </c>
      <c r="K2" s="68" t="s">
        <v>49</v>
      </c>
      <c r="L2" s="68" t="s">
        <v>213</v>
      </c>
      <c r="M2" s="68" t="s">
        <v>183</v>
      </c>
      <c r="N2" s="68" t="s">
        <v>187</v>
      </c>
      <c r="O2" s="68" t="s">
        <v>56</v>
      </c>
      <c r="P2" s="127" t="s">
        <v>97</v>
      </c>
      <c r="Q2" s="128">
        <v>4600000</v>
      </c>
      <c r="R2" s="35">
        <f>Q2</f>
        <v>4600000</v>
      </c>
    </row>
    <row r="3" spans="1:18" ht="16.5" customHeight="1" x14ac:dyDescent="0.25">
      <c r="A3" s="115" t="s">
        <v>222</v>
      </c>
      <c r="B3" s="115" t="s">
        <v>49</v>
      </c>
      <c r="C3" s="115" t="s">
        <v>57</v>
      </c>
      <c r="D3" s="115" t="s">
        <v>54</v>
      </c>
      <c r="E3" s="115" t="s">
        <v>55</v>
      </c>
      <c r="F3" s="115" t="s">
        <v>58</v>
      </c>
      <c r="G3" s="116" t="s">
        <v>59</v>
      </c>
      <c r="H3" s="78">
        <v>5000000</v>
      </c>
      <c r="I3" s="20">
        <f>H3</f>
        <v>5000000</v>
      </c>
      <c r="J3" s="68" t="s">
        <v>222</v>
      </c>
      <c r="K3" s="68" t="s">
        <v>49</v>
      </c>
      <c r="L3" s="68" t="s">
        <v>63</v>
      </c>
      <c r="M3" s="68" t="s">
        <v>183</v>
      </c>
      <c r="N3" s="68" t="s">
        <v>187</v>
      </c>
      <c r="O3" s="68" t="s">
        <v>56</v>
      </c>
      <c r="P3" s="127" t="s">
        <v>98</v>
      </c>
      <c r="Q3" s="128">
        <v>11000000</v>
      </c>
      <c r="R3" s="35">
        <f>Q3</f>
        <v>11000000</v>
      </c>
    </row>
    <row r="4" spans="1:18" ht="15.75" customHeight="1" x14ac:dyDescent="0.25">
      <c r="A4" s="115" t="s">
        <v>222</v>
      </c>
      <c r="B4" s="115" t="s">
        <v>49</v>
      </c>
      <c r="C4" s="115" t="s">
        <v>60</v>
      </c>
      <c r="D4" s="115" t="s">
        <v>61</v>
      </c>
      <c r="E4" s="115" t="s">
        <v>55</v>
      </c>
      <c r="F4" s="115" t="s">
        <v>56</v>
      </c>
      <c r="G4" s="116" t="s">
        <v>62</v>
      </c>
      <c r="H4" s="78">
        <v>221195996</v>
      </c>
      <c r="I4" s="20">
        <f>H4</f>
        <v>221195996</v>
      </c>
      <c r="J4" s="68" t="s">
        <v>222</v>
      </c>
      <c r="K4" s="68" t="s">
        <v>49</v>
      </c>
      <c r="L4" s="68" t="s">
        <v>214</v>
      </c>
      <c r="M4" s="68" t="s">
        <v>70</v>
      </c>
      <c r="N4" s="68" t="s">
        <v>187</v>
      </c>
      <c r="O4" s="68" t="s">
        <v>66</v>
      </c>
      <c r="P4" s="127" t="s">
        <v>135</v>
      </c>
      <c r="Q4" s="128">
        <v>15220228</v>
      </c>
      <c r="R4" s="5"/>
    </row>
    <row r="5" spans="1:18" ht="15" customHeight="1" x14ac:dyDescent="0.25">
      <c r="A5" s="115" t="s">
        <v>222</v>
      </c>
      <c r="B5" s="115" t="s">
        <v>49</v>
      </c>
      <c r="C5" s="115" t="s">
        <v>213</v>
      </c>
      <c r="D5" s="115" t="s">
        <v>183</v>
      </c>
      <c r="E5" s="115" t="s">
        <v>55</v>
      </c>
      <c r="F5" s="115" t="s">
        <v>71</v>
      </c>
      <c r="G5" s="116" t="s">
        <v>223</v>
      </c>
      <c r="H5" s="78">
        <v>6000000</v>
      </c>
      <c r="I5" s="20"/>
      <c r="J5" s="68" t="s">
        <v>222</v>
      </c>
      <c r="K5" s="68" t="s">
        <v>49</v>
      </c>
      <c r="L5" s="68" t="s">
        <v>214</v>
      </c>
      <c r="M5" s="68" t="s">
        <v>70</v>
      </c>
      <c r="N5" s="68" t="s">
        <v>187</v>
      </c>
      <c r="O5" s="68" t="s">
        <v>58</v>
      </c>
      <c r="P5" s="127" t="s">
        <v>99</v>
      </c>
      <c r="Q5" s="128">
        <v>14664114</v>
      </c>
      <c r="R5" s="35">
        <f>Q5+Q4</f>
        <v>29884342</v>
      </c>
    </row>
    <row r="6" spans="1:18" ht="15" customHeight="1" x14ac:dyDescent="0.25">
      <c r="A6" s="115" t="s">
        <v>222</v>
      </c>
      <c r="B6" s="115" t="s">
        <v>49</v>
      </c>
      <c r="C6" s="115" t="s">
        <v>213</v>
      </c>
      <c r="D6" s="115" t="s">
        <v>183</v>
      </c>
      <c r="E6" s="115" t="s">
        <v>55</v>
      </c>
      <c r="F6" s="115" t="s">
        <v>69</v>
      </c>
      <c r="G6" s="116" t="s">
        <v>224</v>
      </c>
      <c r="H6" s="78">
        <v>47300000</v>
      </c>
      <c r="I6" s="20">
        <f>H6+H5</f>
        <v>53300000</v>
      </c>
      <c r="J6" s="68" t="s">
        <v>222</v>
      </c>
      <c r="K6" s="68" t="s">
        <v>49</v>
      </c>
      <c r="L6" s="68" t="s">
        <v>100</v>
      </c>
      <c r="M6" s="68" t="s">
        <v>61</v>
      </c>
      <c r="N6" s="68" t="s">
        <v>187</v>
      </c>
      <c r="O6" s="68" t="s">
        <v>185</v>
      </c>
      <c r="P6" s="127" t="s">
        <v>101</v>
      </c>
      <c r="Q6" s="128">
        <v>2284570</v>
      </c>
      <c r="R6" s="35">
        <f>Q6</f>
        <v>2284570</v>
      </c>
    </row>
    <row r="7" spans="1:18" ht="15" customHeight="1" x14ac:dyDescent="0.25">
      <c r="A7" s="115" t="s">
        <v>222</v>
      </c>
      <c r="B7" s="115" t="s">
        <v>49</v>
      </c>
      <c r="C7" s="115" t="s">
        <v>63</v>
      </c>
      <c r="D7" s="115" t="s">
        <v>64</v>
      </c>
      <c r="E7" s="115" t="s">
        <v>55</v>
      </c>
      <c r="F7" s="115" t="s">
        <v>56</v>
      </c>
      <c r="G7" s="116" t="s">
        <v>225</v>
      </c>
      <c r="H7" s="78">
        <v>57535000</v>
      </c>
      <c r="I7" s="20"/>
      <c r="J7" s="68" t="s">
        <v>222</v>
      </c>
      <c r="K7" s="68" t="s">
        <v>49</v>
      </c>
      <c r="L7" s="68" t="s">
        <v>77</v>
      </c>
      <c r="M7" s="68" t="s">
        <v>70</v>
      </c>
      <c r="N7" s="68" t="s">
        <v>187</v>
      </c>
      <c r="O7" s="68" t="s">
        <v>137</v>
      </c>
      <c r="P7" s="127" t="s">
        <v>136</v>
      </c>
      <c r="Q7" s="128">
        <v>-50000</v>
      </c>
      <c r="R7" s="5"/>
    </row>
    <row r="8" spans="1:18" ht="16.5" customHeight="1" x14ac:dyDescent="0.25">
      <c r="A8" s="115" t="s">
        <v>222</v>
      </c>
      <c r="B8" s="115" t="s">
        <v>49</v>
      </c>
      <c r="C8" s="115" t="s">
        <v>63</v>
      </c>
      <c r="D8" s="115" t="s">
        <v>61</v>
      </c>
      <c r="E8" s="115" t="s">
        <v>55</v>
      </c>
      <c r="F8" s="115" t="s">
        <v>56</v>
      </c>
      <c r="G8" s="116" t="s">
        <v>226</v>
      </c>
      <c r="H8" s="78">
        <v>3167000</v>
      </c>
      <c r="I8" s="20"/>
      <c r="J8" s="68" t="s">
        <v>222</v>
      </c>
      <c r="K8" s="68" t="s">
        <v>49</v>
      </c>
      <c r="L8" s="68" t="s">
        <v>77</v>
      </c>
      <c r="M8" s="68" t="s">
        <v>70</v>
      </c>
      <c r="N8" s="68" t="s">
        <v>187</v>
      </c>
      <c r="O8" s="68" t="s">
        <v>182</v>
      </c>
      <c r="P8" s="127" t="s">
        <v>105</v>
      </c>
      <c r="Q8" s="128">
        <v>1198802</v>
      </c>
      <c r="R8" s="2"/>
    </row>
    <row r="9" spans="1:18" ht="16.5" customHeight="1" x14ac:dyDescent="0.25">
      <c r="A9" s="115" t="s">
        <v>222</v>
      </c>
      <c r="B9" s="115" t="s">
        <v>49</v>
      </c>
      <c r="C9" s="115" t="s">
        <v>63</v>
      </c>
      <c r="D9" s="115" t="s">
        <v>65</v>
      </c>
      <c r="E9" s="115" t="s">
        <v>55</v>
      </c>
      <c r="F9" s="115" t="s">
        <v>66</v>
      </c>
      <c r="G9" s="116" t="s">
        <v>227</v>
      </c>
      <c r="H9" s="78">
        <v>1050000</v>
      </c>
      <c r="I9" s="20"/>
      <c r="J9" s="68" t="s">
        <v>222</v>
      </c>
      <c r="K9" s="68" t="s">
        <v>49</v>
      </c>
      <c r="L9" s="68" t="s">
        <v>77</v>
      </c>
      <c r="M9" s="68" t="s">
        <v>70</v>
      </c>
      <c r="N9" s="68" t="s">
        <v>187</v>
      </c>
      <c r="O9" s="68" t="s">
        <v>184</v>
      </c>
      <c r="P9" s="127" t="s">
        <v>103</v>
      </c>
      <c r="Q9" s="128">
        <v>1020000</v>
      </c>
      <c r="R9" s="2"/>
    </row>
    <row r="10" spans="1:18" ht="16.5" customHeight="1" x14ac:dyDescent="0.25">
      <c r="A10" s="115" t="s">
        <v>222</v>
      </c>
      <c r="B10" s="115" t="s">
        <v>49</v>
      </c>
      <c r="C10" s="115" t="s">
        <v>63</v>
      </c>
      <c r="D10" s="115" t="s">
        <v>65</v>
      </c>
      <c r="E10" s="115" t="s">
        <v>55</v>
      </c>
      <c r="F10" s="115" t="s">
        <v>56</v>
      </c>
      <c r="G10" s="116" t="s">
        <v>67</v>
      </c>
      <c r="H10" s="78">
        <v>15000000</v>
      </c>
      <c r="I10" s="20"/>
      <c r="J10" s="68" t="s">
        <v>222</v>
      </c>
      <c r="K10" s="68" t="s">
        <v>49</v>
      </c>
      <c r="L10" s="68" t="s">
        <v>77</v>
      </c>
      <c r="M10" s="68" t="s">
        <v>70</v>
      </c>
      <c r="N10" s="68" t="s">
        <v>187</v>
      </c>
      <c r="O10" s="68" t="s">
        <v>82</v>
      </c>
      <c r="P10" s="127" t="s">
        <v>102</v>
      </c>
      <c r="Q10" s="128">
        <v>5939600</v>
      </c>
      <c r="R10" s="19"/>
    </row>
    <row r="11" spans="1:18" ht="15.75" customHeight="1" x14ac:dyDescent="0.25">
      <c r="A11" s="115" t="s">
        <v>222</v>
      </c>
      <c r="B11" s="115" t="s">
        <v>49</v>
      </c>
      <c r="C11" s="115" t="s">
        <v>63</v>
      </c>
      <c r="D11" s="115" t="s">
        <v>54</v>
      </c>
      <c r="E11" s="115" t="s">
        <v>55</v>
      </c>
      <c r="F11" s="115" t="s">
        <v>56</v>
      </c>
      <c r="G11" s="116" t="s">
        <v>140</v>
      </c>
      <c r="H11" s="78">
        <v>26000000</v>
      </c>
      <c r="I11" s="20">
        <f>H7+H8+H9+H10+H11</f>
        <v>102752000</v>
      </c>
      <c r="J11" s="68" t="s">
        <v>222</v>
      </c>
      <c r="K11" s="68" t="s">
        <v>49</v>
      </c>
      <c r="L11" s="68" t="s">
        <v>77</v>
      </c>
      <c r="M11" s="68" t="s">
        <v>70</v>
      </c>
      <c r="N11" s="68" t="s">
        <v>187</v>
      </c>
      <c r="O11" s="68" t="s">
        <v>71</v>
      </c>
      <c r="P11" s="127" t="s">
        <v>104</v>
      </c>
      <c r="Q11" s="128">
        <v>14575000</v>
      </c>
      <c r="R11" s="35"/>
    </row>
    <row r="12" spans="1:18" ht="16.5" customHeight="1" x14ac:dyDescent="0.25">
      <c r="A12" s="115" t="s">
        <v>222</v>
      </c>
      <c r="B12" s="115" t="s">
        <v>49</v>
      </c>
      <c r="C12" s="115" t="s">
        <v>68</v>
      </c>
      <c r="D12" s="115" t="s">
        <v>61</v>
      </c>
      <c r="E12" s="115" t="s">
        <v>55</v>
      </c>
      <c r="F12" s="115" t="s">
        <v>71</v>
      </c>
      <c r="G12" s="116" t="s">
        <v>228</v>
      </c>
      <c r="H12" s="78">
        <v>19000000</v>
      </c>
      <c r="I12" s="20"/>
      <c r="J12" s="68" t="s">
        <v>222</v>
      </c>
      <c r="K12" s="68" t="s">
        <v>49</v>
      </c>
      <c r="L12" s="68" t="s">
        <v>77</v>
      </c>
      <c r="M12" s="68" t="s">
        <v>70</v>
      </c>
      <c r="N12" s="68" t="s">
        <v>187</v>
      </c>
      <c r="O12" s="68" t="s">
        <v>56</v>
      </c>
      <c r="P12" s="127" t="s">
        <v>215</v>
      </c>
      <c r="Q12" s="128">
        <v>7551108</v>
      </c>
      <c r="R12" s="35">
        <f>Q7+Q8+Q9+Q10+Q11+Q12</f>
        <v>30234510</v>
      </c>
    </row>
    <row r="13" spans="1:18" ht="14.25" customHeight="1" x14ac:dyDescent="0.25">
      <c r="A13" s="115" t="s">
        <v>222</v>
      </c>
      <c r="B13" s="115" t="s">
        <v>49</v>
      </c>
      <c r="C13" s="115" t="s">
        <v>68</v>
      </c>
      <c r="D13" s="115" t="s">
        <v>61</v>
      </c>
      <c r="E13" s="115" t="s">
        <v>55</v>
      </c>
      <c r="F13" s="115" t="s">
        <v>69</v>
      </c>
      <c r="G13" s="116" t="s">
        <v>229</v>
      </c>
      <c r="H13" s="78">
        <v>-13929</v>
      </c>
      <c r="I13" s="20">
        <f>H12+H13</f>
        <v>18986071</v>
      </c>
      <c r="J13" s="68" t="s">
        <v>222</v>
      </c>
      <c r="K13" s="68" t="s">
        <v>49</v>
      </c>
      <c r="L13" s="68" t="s">
        <v>83</v>
      </c>
      <c r="M13" s="68" t="s">
        <v>64</v>
      </c>
      <c r="N13" s="68" t="s">
        <v>187</v>
      </c>
      <c r="O13" s="68" t="s">
        <v>106</v>
      </c>
      <c r="P13" s="127" t="s">
        <v>107</v>
      </c>
      <c r="Q13" s="128">
        <v>3500000</v>
      </c>
      <c r="R13" s="35">
        <f>Q13</f>
        <v>3500000</v>
      </c>
    </row>
    <row r="14" spans="1:18" ht="17.25" customHeight="1" x14ac:dyDescent="0.25">
      <c r="A14" s="115" t="s">
        <v>222</v>
      </c>
      <c r="B14" s="115" t="s">
        <v>49</v>
      </c>
      <c r="C14" s="115" t="s">
        <v>206</v>
      </c>
      <c r="D14" s="115" t="s">
        <v>70</v>
      </c>
      <c r="E14" s="115" t="s">
        <v>55</v>
      </c>
      <c r="F14" s="115" t="s">
        <v>80</v>
      </c>
      <c r="G14" s="116" t="s">
        <v>189</v>
      </c>
      <c r="H14" s="78">
        <v>10000000</v>
      </c>
      <c r="I14" s="20"/>
      <c r="J14" s="69"/>
      <c r="K14" s="69"/>
      <c r="L14" s="123"/>
      <c r="M14" s="70"/>
      <c r="N14" s="70"/>
      <c r="O14" s="70"/>
      <c r="P14" s="71"/>
      <c r="Q14" s="5"/>
      <c r="R14" s="5"/>
    </row>
    <row r="15" spans="1:18" ht="17.25" customHeight="1" x14ac:dyDescent="0.25">
      <c r="A15" s="115" t="s">
        <v>222</v>
      </c>
      <c r="B15" s="115" t="s">
        <v>49</v>
      </c>
      <c r="C15" s="115" t="s">
        <v>206</v>
      </c>
      <c r="D15" s="115" t="s">
        <v>70</v>
      </c>
      <c r="E15" s="115" t="s">
        <v>55</v>
      </c>
      <c r="F15" s="115" t="s">
        <v>71</v>
      </c>
      <c r="G15" s="116" t="s">
        <v>141</v>
      </c>
      <c r="H15" s="78">
        <v>15000000</v>
      </c>
      <c r="I15" s="20">
        <f>H14+H15</f>
        <v>25000000</v>
      </c>
      <c r="J15"/>
      <c r="K15"/>
      <c r="L15" s="124"/>
      <c r="M15"/>
      <c r="N15"/>
      <c r="O15"/>
      <c r="P15" s="117"/>
      <c r="Q15" s="21">
        <f>SUM(Q2:Q14)</f>
        <v>81503422</v>
      </c>
      <c r="R15" s="21">
        <f>SUM(R2:R14)</f>
        <v>81503422</v>
      </c>
    </row>
    <row r="16" spans="1:18" ht="13.7" customHeight="1" x14ac:dyDescent="0.25">
      <c r="A16" s="115" t="s">
        <v>222</v>
      </c>
      <c r="B16" s="115" t="s">
        <v>49</v>
      </c>
      <c r="C16" s="115" t="s">
        <v>72</v>
      </c>
      <c r="D16" s="115" t="s">
        <v>70</v>
      </c>
      <c r="E16" s="115" t="s">
        <v>55</v>
      </c>
      <c r="F16" s="115" t="s">
        <v>66</v>
      </c>
      <c r="G16" s="116" t="s">
        <v>73</v>
      </c>
      <c r="H16" s="78">
        <v>6500000</v>
      </c>
      <c r="I16" s="20">
        <f t="shared" ref="I16:I21" si="0">H16</f>
        <v>6500000</v>
      </c>
      <c r="M16"/>
      <c r="N16"/>
      <c r="O16"/>
      <c r="P16" s="117"/>
      <c r="Q16" s="20"/>
    </row>
    <row r="17" spans="1:18" ht="17.25" customHeight="1" x14ac:dyDescent="0.25">
      <c r="A17" s="115" t="s">
        <v>222</v>
      </c>
      <c r="B17" s="115" t="s">
        <v>49</v>
      </c>
      <c r="C17" s="115" t="s">
        <v>74</v>
      </c>
      <c r="D17" s="115" t="s">
        <v>70</v>
      </c>
      <c r="E17" s="115" t="s">
        <v>55</v>
      </c>
      <c r="F17" s="115" t="s">
        <v>106</v>
      </c>
      <c r="G17" s="116" t="s">
        <v>211</v>
      </c>
      <c r="H17" s="78">
        <v>1571500</v>
      </c>
      <c r="I17" s="20">
        <f t="shared" si="0"/>
        <v>1571500</v>
      </c>
      <c r="N17" s="150" t="s">
        <v>108</v>
      </c>
      <c r="O17" s="150"/>
      <c r="P17" s="150"/>
      <c r="Q17" s="150"/>
    </row>
    <row r="18" spans="1:18" ht="15.75" customHeight="1" x14ac:dyDescent="0.25">
      <c r="A18" s="115" t="s">
        <v>222</v>
      </c>
      <c r="B18" s="115" t="s">
        <v>49</v>
      </c>
      <c r="C18" s="115" t="s">
        <v>75</v>
      </c>
      <c r="D18" s="115" t="s">
        <v>64</v>
      </c>
      <c r="E18" s="115" t="s">
        <v>55</v>
      </c>
      <c r="F18" s="115" t="s">
        <v>56</v>
      </c>
      <c r="G18" s="116" t="s">
        <v>76</v>
      </c>
      <c r="H18" s="78">
        <v>5000000</v>
      </c>
      <c r="I18" s="20">
        <f t="shared" si="0"/>
        <v>5000000</v>
      </c>
      <c r="N18" s="26">
        <v>4202</v>
      </c>
      <c r="O18" s="25">
        <f>I2</f>
        <v>34000000</v>
      </c>
      <c r="Q18" s="45" t="s">
        <v>110</v>
      </c>
      <c r="R18" s="5">
        <f>Q15</f>
        <v>81503422</v>
      </c>
    </row>
    <row r="19" spans="1:18" ht="15.75" customHeight="1" x14ac:dyDescent="0.25">
      <c r="A19" s="115" t="s">
        <v>222</v>
      </c>
      <c r="B19" s="115" t="s">
        <v>49</v>
      </c>
      <c r="C19" s="115" t="s">
        <v>100</v>
      </c>
      <c r="D19" s="115" t="s">
        <v>61</v>
      </c>
      <c r="E19" s="115" t="s">
        <v>55</v>
      </c>
      <c r="F19" s="115" t="s">
        <v>56</v>
      </c>
      <c r="G19" s="116" t="s">
        <v>128</v>
      </c>
      <c r="H19" s="78">
        <v>490000</v>
      </c>
      <c r="I19" s="20">
        <f t="shared" si="0"/>
        <v>490000</v>
      </c>
      <c r="N19" s="26">
        <v>4210</v>
      </c>
      <c r="O19" s="130">
        <f>I3</f>
        <v>5000000</v>
      </c>
      <c r="Q19" s="45" t="s">
        <v>109</v>
      </c>
      <c r="R19" s="5">
        <f>O46</f>
        <v>64822545</v>
      </c>
    </row>
    <row r="20" spans="1:18" ht="14.25" customHeight="1" x14ac:dyDescent="0.25">
      <c r="A20" s="115" t="s">
        <v>222</v>
      </c>
      <c r="B20" s="115" t="s">
        <v>49</v>
      </c>
      <c r="C20" s="115" t="s">
        <v>77</v>
      </c>
      <c r="D20" s="115" t="s">
        <v>70</v>
      </c>
      <c r="E20" s="115" t="s">
        <v>55</v>
      </c>
      <c r="F20" s="115" t="s">
        <v>56</v>
      </c>
      <c r="G20" s="116" t="s">
        <v>78</v>
      </c>
      <c r="H20" s="78">
        <v>17225000</v>
      </c>
      <c r="I20" s="20">
        <f t="shared" si="0"/>
        <v>17225000</v>
      </c>
      <c r="N20" s="26">
        <v>4215</v>
      </c>
      <c r="O20" s="130">
        <f>I4</f>
        <v>221195996</v>
      </c>
      <c r="Q20" s="45" t="s">
        <v>29</v>
      </c>
      <c r="R20" s="5">
        <f>O47</f>
        <v>8656700</v>
      </c>
    </row>
    <row r="21" spans="1:18" ht="13.7" customHeight="1" x14ac:dyDescent="0.25">
      <c r="A21" s="115" t="s">
        <v>222</v>
      </c>
      <c r="B21" s="115" t="s">
        <v>49</v>
      </c>
      <c r="C21" s="115" t="s">
        <v>129</v>
      </c>
      <c r="D21" s="115" t="s">
        <v>84</v>
      </c>
      <c r="E21" s="115" t="s">
        <v>55</v>
      </c>
      <c r="F21" s="115" t="s">
        <v>90</v>
      </c>
      <c r="G21" s="116" t="s">
        <v>130</v>
      </c>
      <c r="H21" s="78">
        <v>20000000</v>
      </c>
      <c r="I21" s="20">
        <f t="shared" si="0"/>
        <v>20000000</v>
      </c>
      <c r="N21" s="26">
        <v>4216</v>
      </c>
      <c r="O21" s="130">
        <f>I6+R2</f>
        <v>57900000</v>
      </c>
      <c r="R21" s="20">
        <f>SUM(R18:R20)</f>
        <v>154982667</v>
      </c>
    </row>
    <row r="22" spans="1:18" ht="14.45" customHeight="1" x14ac:dyDescent="0.25">
      <c r="A22" s="126" t="s">
        <v>222</v>
      </c>
      <c r="B22" s="126" t="s">
        <v>49</v>
      </c>
      <c r="C22" s="115" t="s">
        <v>79</v>
      </c>
      <c r="D22" s="115" t="s">
        <v>61</v>
      </c>
      <c r="E22" s="115" t="s">
        <v>55</v>
      </c>
      <c r="F22" s="115" t="s">
        <v>186</v>
      </c>
      <c r="G22" s="116" t="s">
        <v>230</v>
      </c>
      <c r="H22" s="78">
        <v>47043000</v>
      </c>
      <c r="I22" s="20"/>
      <c r="N22" s="26">
        <v>4225</v>
      </c>
      <c r="O22" s="130">
        <f>I11+R3</f>
        <v>113752000</v>
      </c>
    </row>
    <row r="23" spans="1:18" ht="13.7" customHeight="1" x14ac:dyDescent="0.25">
      <c r="A23" s="126" t="s">
        <v>222</v>
      </c>
      <c r="B23" s="126" t="s">
        <v>49</v>
      </c>
      <c r="C23" s="115" t="s">
        <v>79</v>
      </c>
      <c r="D23" s="115" t="s">
        <v>61</v>
      </c>
      <c r="E23" s="115" t="s">
        <v>55</v>
      </c>
      <c r="F23" s="115" t="s">
        <v>80</v>
      </c>
      <c r="G23" s="116" t="s">
        <v>81</v>
      </c>
      <c r="H23" s="78">
        <v>52377000</v>
      </c>
      <c r="I23" s="20"/>
      <c r="N23" s="26">
        <v>4235</v>
      </c>
      <c r="O23" s="130">
        <f>I13</f>
        <v>18986071</v>
      </c>
    </row>
    <row r="24" spans="1:18" ht="15.75" customHeight="1" x14ac:dyDescent="0.25">
      <c r="A24" s="115" t="s">
        <v>222</v>
      </c>
      <c r="B24" s="115" t="s">
        <v>49</v>
      </c>
      <c r="C24" s="115" t="s">
        <v>79</v>
      </c>
      <c r="D24" s="115" t="s">
        <v>61</v>
      </c>
      <c r="E24" s="115" t="s">
        <v>55</v>
      </c>
      <c r="F24" s="115" t="s">
        <v>82</v>
      </c>
      <c r="G24" s="116" t="s">
        <v>23</v>
      </c>
      <c r="H24" s="78">
        <v>331080863</v>
      </c>
      <c r="I24" s="20">
        <f>H22+H23+H24</f>
        <v>430500863</v>
      </c>
      <c r="N24" s="26">
        <v>4250</v>
      </c>
      <c r="O24" s="130">
        <f>I15</f>
        <v>25000000</v>
      </c>
    </row>
    <row r="25" spans="1:18" ht="15.75" customHeight="1" x14ac:dyDescent="0.25">
      <c r="A25" s="115" t="s">
        <v>222</v>
      </c>
      <c r="B25" s="115" t="s">
        <v>49</v>
      </c>
      <c r="C25" s="115" t="s">
        <v>83</v>
      </c>
      <c r="D25" s="115" t="s">
        <v>84</v>
      </c>
      <c r="E25" s="115" t="s">
        <v>55</v>
      </c>
      <c r="F25" s="115" t="s">
        <v>186</v>
      </c>
      <c r="G25" s="116" t="s">
        <v>190</v>
      </c>
      <c r="H25" s="78">
        <v>200000000</v>
      </c>
      <c r="I25" s="20"/>
      <c r="N25" s="26">
        <v>4401</v>
      </c>
      <c r="O25" s="130">
        <f>I16</f>
        <v>6500000</v>
      </c>
    </row>
    <row r="26" spans="1:18" ht="15" customHeight="1" x14ac:dyDescent="0.25">
      <c r="A26" s="115" t="s">
        <v>222</v>
      </c>
      <c r="B26" s="115" t="s">
        <v>49</v>
      </c>
      <c r="C26" s="115" t="s">
        <v>83</v>
      </c>
      <c r="D26" s="115" t="s">
        <v>84</v>
      </c>
      <c r="E26" s="115" t="s">
        <v>55</v>
      </c>
      <c r="F26" s="115" t="s">
        <v>82</v>
      </c>
      <c r="G26" s="116" t="s">
        <v>85</v>
      </c>
      <c r="H26" s="78">
        <v>4500000</v>
      </c>
      <c r="I26" s="20">
        <f>H25+H26</f>
        <v>204500000</v>
      </c>
      <c r="N26" s="26">
        <v>4403</v>
      </c>
      <c r="O26" s="130">
        <f>I17</f>
        <v>1571500</v>
      </c>
    </row>
    <row r="27" spans="1:18" ht="15" customHeight="1" x14ac:dyDescent="0.25">
      <c r="A27" s="115" t="s">
        <v>222</v>
      </c>
      <c r="B27" s="115" t="s">
        <v>49</v>
      </c>
      <c r="C27" s="115" t="s">
        <v>86</v>
      </c>
      <c r="D27" s="115" t="s">
        <v>64</v>
      </c>
      <c r="E27" s="115" t="s">
        <v>55</v>
      </c>
      <c r="F27" s="115" t="s">
        <v>71</v>
      </c>
      <c r="G27" s="116" t="s">
        <v>131</v>
      </c>
      <c r="H27" s="78">
        <v>5000000</v>
      </c>
      <c r="I27" s="20"/>
      <c r="N27" s="26">
        <v>4404</v>
      </c>
      <c r="O27" s="130">
        <f>R5</f>
        <v>29884342</v>
      </c>
    </row>
    <row r="28" spans="1:18" ht="14.25" customHeight="1" x14ac:dyDescent="0.25">
      <c r="A28" s="115" t="s">
        <v>222</v>
      </c>
      <c r="B28" s="115" t="s">
        <v>49</v>
      </c>
      <c r="C28" s="115" t="s">
        <v>86</v>
      </c>
      <c r="D28" s="115" t="s">
        <v>64</v>
      </c>
      <c r="E28" s="115" t="s">
        <v>55</v>
      </c>
      <c r="F28" s="115" t="s">
        <v>58</v>
      </c>
      <c r="G28" s="116" t="s">
        <v>212</v>
      </c>
      <c r="H28" s="78">
        <v>1000000000</v>
      </c>
      <c r="I28" s="20"/>
      <c r="N28" s="26">
        <v>4405</v>
      </c>
      <c r="O28" s="130"/>
    </row>
    <row r="29" spans="1:18" ht="15.75" customHeight="1" x14ac:dyDescent="0.25">
      <c r="A29" s="115" t="s">
        <v>222</v>
      </c>
      <c r="B29" s="115" t="s">
        <v>49</v>
      </c>
      <c r="C29" s="115" t="s">
        <v>86</v>
      </c>
      <c r="D29" s="115" t="s">
        <v>84</v>
      </c>
      <c r="E29" s="115" t="s">
        <v>55</v>
      </c>
      <c r="F29" s="115" t="s">
        <v>106</v>
      </c>
      <c r="G29" s="116" t="s">
        <v>142</v>
      </c>
      <c r="H29" s="78">
        <v>104935511</v>
      </c>
      <c r="I29" s="20"/>
      <c r="N29" s="26">
        <v>4406</v>
      </c>
      <c r="O29" s="130">
        <f>I18</f>
        <v>5000000</v>
      </c>
    </row>
    <row r="30" spans="1:18" ht="15" customHeight="1" x14ac:dyDescent="0.25">
      <c r="A30" s="115" t="s">
        <v>222</v>
      </c>
      <c r="B30" s="115" t="s">
        <v>49</v>
      </c>
      <c r="C30" s="115" t="s">
        <v>86</v>
      </c>
      <c r="D30" s="115" t="s">
        <v>84</v>
      </c>
      <c r="E30" s="115" t="s">
        <v>55</v>
      </c>
      <c r="F30" s="115" t="s">
        <v>82</v>
      </c>
      <c r="G30" s="116" t="s">
        <v>132</v>
      </c>
      <c r="H30" s="78">
        <v>76800000</v>
      </c>
      <c r="I30" s="20">
        <f>H27+H28+H29+H30</f>
        <v>1186735511</v>
      </c>
      <c r="N30" s="26">
        <v>4408</v>
      </c>
      <c r="O30" s="130">
        <f>I19+R6</f>
        <v>2774570</v>
      </c>
    </row>
    <row r="31" spans="1:18" ht="15" customHeight="1" x14ac:dyDescent="0.25">
      <c r="A31" s="115" t="s">
        <v>222</v>
      </c>
      <c r="B31" s="115" t="s">
        <v>49</v>
      </c>
      <c r="C31" s="115" t="s">
        <v>207</v>
      </c>
      <c r="D31" s="115" t="s">
        <v>183</v>
      </c>
      <c r="E31" s="115" t="s">
        <v>55</v>
      </c>
      <c r="F31" s="115" t="s">
        <v>66</v>
      </c>
      <c r="G31" s="116" t="s">
        <v>143</v>
      </c>
      <c r="H31" s="78">
        <v>5700000</v>
      </c>
      <c r="I31" s="20">
        <f>H31</f>
        <v>5700000</v>
      </c>
      <c r="N31" s="26">
        <v>4851</v>
      </c>
      <c r="O31" s="130">
        <f>I20+R12</f>
        <v>47459510</v>
      </c>
    </row>
    <row r="32" spans="1:18" ht="15.75" customHeight="1" x14ac:dyDescent="0.25">
      <c r="A32" s="115" t="s">
        <v>222</v>
      </c>
      <c r="B32" s="115" t="s">
        <v>49</v>
      </c>
      <c r="C32" s="115" t="s">
        <v>88</v>
      </c>
      <c r="D32" s="115" t="s">
        <v>61</v>
      </c>
      <c r="E32" s="115" t="s">
        <v>55</v>
      </c>
      <c r="F32" s="115" t="s">
        <v>137</v>
      </c>
      <c r="G32" s="116" t="s">
        <v>231</v>
      </c>
      <c r="H32" s="78">
        <v>-79049950</v>
      </c>
      <c r="I32" s="5"/>
      <c r="N32" s="26">
        <v>4854</v>
      </c>
      <c r="O32" s="130">
        <v>0</v>
      </c>
    </row>
    <row r="33" spans="1:15" ht="15.75" customHeight="1" x14ac:dyDescent="0.25">
      <c r="A33" s="115" t="s">
        <v>222</v>
      </c>
      <c r="B33" s="115" t="s">
        <v>49</v>
      </c>
      <c r="C33" s="115" t="s">
        <v>88</v>
      </c>
      <c r="D33" s="115" t="s">
        <v>61</v>
      </c>
      <c r="E33" s="115" t="s">
        <v>55</v>
      </c>
      <c r="F33" s="115" t="s">
        <v>80</v>
      </c>
      <c r="G33" s="116" t="s">
        <v>232</v>
      </c>
      <c r="H33" s="78">
        <v>674715648</v>
      </c>
      <c r="I33" s="20">
        <f>H32+H33</f>
        <v>595665698</v>
      </c>
      <c r="N33" s="26">
        <v>4857</v>
      </c>
      <c r="O33" s="130">
        <v>0</v>
      </c>
    </row>
    <row r="34" spans="1:15" ht="14.25" customHeight="1" x14ac:dyDescent="0.25">
      <c r="A34" s="115" t="s">
        <v>222</v>
      </c>
      <c r="B34" s="115" t="s">
        <v>49</v>
      </c>
      <c r="C34" s="115" t="s">
        <v>89</v>
      </c>
      <c r="D34" s="115" t="s">
        <v>70</v>
      </c>
      <c r="E34" s="115" t="s">
        <v>55</v>
      </c>
      <c r="F34" s="115" t="s">
        <v>71</v>
      </c>
      <c r="G34" s="116" t="s">
        <v>233</v>
      </c>
      <c r="H34" s="78">
        <v>1048554</v>
      </c>
      <c r="I34" s="20"/>
      <c r="N34" s="26">
        <v>4858</v>
      </c>
      <c r="O34" s="130">
        <f>I21</f>
        <v>20000000</v>
      </c>
    </row>
    <row r="35" spans="1:15" ht="14.25" customHeight="1" x14ac:dyDescent="0.25">
      <c r="A35" s="115" t="s">
        <v>222</v>
      </c>
      <c r="B35" s="115" t="s">
        <v>49</v>
      </c>
      <c r="C35" s="115" t="s">
        <v>89</v>
      </c>
      <c r="D35" s="115" t="s">
        <v>70</v>
      </c>
      <c r="E35" s="115" t="s">
        <v>55</v>
      </c>
      <c r="F35" s="115" t="s">
        <v>56</v>
      </c>
      <c r="G35" s="116" t="s">
        <v>133</v>
      </c>
      <c r="H35" s="78">
        <v>132937322</v>
      </c>
      <c r="I35" s="20">
        <f>H34+H35</f>
        <v>133985876</v>
      </c>
      <c r="N35" s="26">
        <v>4859</v>
      </c>
      <c r="O35" s="130">
        <f>I24</f>
        <v>430500863</v>
      </c>
    </row>
    <row r="36" spans="1:15" ht="15" customHeight="1" x14ac:dyDescent="0.25">
      <c r="A36" s="115" t="s">
        <v>222</v>
      </c>
      <c r="B36" s="115" t="s">
        <v>49</v>
      </c>
      <c r="C36" s="115" t="s">
        <v>91</v>
      </c>
      <c r="D36" s="115" t="s">
        <v>64</v>
      </c>
      <c r="E36" s="115" t="s">
        <v>55</v>
      </c>
      <c r="F36" s="115" t="s">
        <v>69</v>
      </c>
      <c r="G36" s="116" t="s">
        <v>234</v>
      </c>
      <c r="H36" s="78">
        <v>5000000</v>
      </c>
      <c r="I36" s="20"/>
      <c r="N36" s="26">
        <v>4860</v>
      </c>
      <c r="O36" s="130">
        <f>I26+R13</f>
        <v>208000000</v>
      </c>
    </row>
    <row r="37" spans="1:15" ht="14.25" customHeight="1" x14ac:dyDescent="0.25">
      <c r="A37" s="115" t="s">
        <v>222</v>
      </c>
      <c r="B37" s="115" t="s">
        <v>49</v>
      </c>
      <c r="C37" s="115" t="s">
        <v>91</v>
      </c>
      <c r="D37" s="115" t="s">
        <v>64</v>
      </c>
      <c r="E37" s="115" t="s">
        <v>55</v>
      </c>
      <c r="F37" s="115" t="s">
        <v>56</v>
      </c>
      <c r="G37" s="116" t="s">
        <v>235</v>
      </c>
      <c r="H37" s="78">
        <v>105000000</v>
      </c>
      <c r="I37" s="20">
        <f>H36+H37</f>
        <v>110000000</v>
      </c>
      <c r="N37" s="26">
        <v>4885</v>
      </c>
      <c r="O37" s="130">
        <f>I30</f>
        <v>1186735511</v>
      </c>
    </row>
    <row r="38" spans="1:15" ht="15" customHeight="1" x14ac:dyDescent="0.25">
      <c r="A38" s="115" t="s">
        <v>222</v>
      </c>
      <c r="B38" s="115" t="s">
        <v>49</v>
      </c>
      <c r="C38" s="115" t="s">
        <v>236</v>
      </c>
      <c r="D38" s="115" t="s">
        <v>64</v>
      </c>
      <c r="E38" s="115" t="s">
        <v>55</v>
      </c>
      <c r="F38" s="115" t="s">
        <v>69</v>
      </c>
      <c r="G38" s="116" t="s">
        <v>237</v>
      </c>
      <c r="H38" s="78">
        <v>195934870</v>
      </c>
      <c r="I38" s="59">
        <f>H38</f>
        <v>195934870</v>
      </c>
      <c r="N38" s="26">
        <v>5051</v>
      </c>
      <c r="O38" s="130">
        <f>I31</f>
        <v>5700000</v>
      </c>
    </row>
    <row r="39" spans="1:15" ht="13.7" customHeight="1" x14ac:dyDescent="0.25">
      <c r="A39" s="115" t="s">
        <v>222</v>
      </c>
      <c r="B39" s="115" t="s">
        <v>49</v>
      </c>
      <c r="C39" s="115" t="s">
        <v>92</v>
      </c>
      <c r="D39" s="115" t="s">
        <v>70</v>
      </c>
      <c r="E39" s="115" t="s">
        <v>55</v>
      </c>
      <c r="F39" s="115" t="s">
        <v>56</v>
      </c>
      <c r="G39" s="116" t="s">
        <v>93</v>
      </c>
      <c r="H39" s="78">
        <v>12045000</v>
      </c>
      <c r="I39" s="59">
        <f>H39</f>
        <v>12045000</v>
      </c>
      <c r="N39" s="26">
        <v>5053</v>
      </c>
      <c r="O39" s="130">
        <f>I33</f>
        <v>595665698</v>
      </c>
    </row>
    <row r="40" spans="1:15" ht="15" customHeight="1" x14ac:dyDescent="0.25">
      <c r="I40" s="20"/>
      <c r="N40" s="26">
        <v>5055</v>
      </c>
      <c r="O40" s="130">
        <f>I35</f>
        <v>133985876</v>
      </c>
    </row>
    <row r="41" spans="1:15" ht="15.75" customHeight="1" x14ac:dyDescent="0.25">
      <c r="H41" s="73">
        <f>SUM(H2:H40)</f>
        <v>3386088385</v>
      </c>
      <c r="I41" s="73">
        <f>SUM(I2:I40)</f>
        <v>3386088385</v>
      </c>
      <c r="N41" s="26">
        <v>5056</v>
      </c>
      <c r="O41" s="130">
        <v>0</v>
      </c>
    </row>
    <row r="42" spans="1:15" ht="16.5" customHeight="1" x14ac:dyDescent="0.25">
      <c r="I42" s="20"/>
      <c r="N42" s="26">
        <v>5452</v>
      </c>
      <c r="O42" s="130">
        <f>I37</f>
        <v>110000000</v>
      </c>
    </row>
    <row r="43" spans="1:15" x14ac:dyDescent="0.25">
      <c r="I43" s="19"/>
      <c r="N43" s="26">
        <v>5465</v>
      </c>
      <c r="O43" s="130">
        <f>I38</f>
        <v>195934870</v>
      </c>
    </row>
    <row r="44" spans="1:15" x14ac:dyDescent="0.25">
      <c r="N44" s="26">
        <v>5475</v>
      </c>
      <c r="O44" s="130">
        <f>I39</f>
        <v>12045000</v>
      </c>
    </row>
    <row r="45" spans="1:15" x14ac:dyDescent="0.25">
      <c r="O45" s="131">
        <f>SUM(O18:O44)</f>
        <v>3467591807</v>
      </c>
    </row>
    <row r="46" spans="1:15" x14ac:dyDescent="0.25">
      <c r="I46" s="60"/>
      <c r="N46" s="28" t="s">
        <v>109</v>
      </c>
      <c r="O46" s="120">
        <v>64822545</v>
      </c>
    </row>
    <row r="47" spans="1:15" x14ac:dyDescent="0.25">
      <c r="N47" s="28" t="s">
        <v>29</v>
      </c>
      <c r="O47" s="120">
        <v>8656700</v>
      </c>
    </row>
    <row r="48" spans="1:15" x14ac:dyDescent="0.25">
      <c r="N48" s="28">
        <v>4801</v>
      </c>
      <c r="O48" s="130">
        <v>0</v>
      </c>
    </row>
    <row r="49" spans="9:15" x14ac:dyDescent="0.25">
      <c r="I49" s="60"/>
      <c r="O49" s="131">
        <f>SUM(O45:O48)</f>
        <v>3541071052</v>
      </c>
    </row>
  </sheetData>
  <mergeCells count="1">
    <mergeCell ref="N17:Q17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51"/>
  <sheetViews>
    <sheetView view="pageBreakPreview" topLeftCell="A101" zoomScale="85" zoomScaleSheetLayoutView="85" workbookViewId="0">
      <selection activeCell="J36" sqref="J36"/>
    </sheetView>
  </sheetViews>
  <sheetFormatPr defaultRowHeight="15.75" x14ac:dyDescent="0.25"/>
  <cols>
    <col min="1" max="1" width="10.21875" style="2" customWidth="1"/>
    <col min="2" max="2" width="24.109375" style="2" customWidth="1"/>
    <col min="3" max="3" width="19.21875" style="2" customWidth="1"/>
    <col min="4" max="4" width="15.77734375" style="32" bestFit="1" customWidth="1"/>
    <col min="5" max="5" width="10.109375" style="2" customWidth="1"/>
    <col min="6" max="6" width="6" style="2" bestFit="1" customWidth="1"/>
    <col min="7" max="7" width="8.88671875" customWidth="1"/>
    <col min="8" max="8" width="12" customWidth="1"/>
    <col min="9" max="9" width="8.88671875" customWidth="1"/>
    <col min="10" max="10" width="11.88671875" customWidth="1"/>
    <col min="11" max="11" width="13.77734375" bestFit="1" customWidth="1"/>
    <col min="12" max="12" width="13.5546875" bestFit="1" customWidth="1"/>
    <col min="13" max="13" width="12" bestFit="1" customWidth="1"/>
  </cols>
  <sheetData>
    <row r="1" spans="1:6" x14ac:dyDescent="0.25">
      <c r="A1" s="150" t="s">
        <v>238</v>
      </c>
      <c r="B1" s="150"/>
      <c r="C1" s="150"/>
      <c r="D1" s="150"/>
      <c r="E1" s="150"/>
      <c r="F1" s="150"/>
    </row>
    <row r="2" spans="1:6" x14ac:dyDescent="0.25">
      <c r="A2" s="19"/>
      <c r="B2" s="170" t="s">
        <v>21</v>
      </c>
      <c r="C2" s="170"/>
      <c r="D2" s="53"/>
    </row>
    <row r="3" spans="1:6" ht="31.5" x14ac:dyDescent="0.25">
      <c r="A3" s="54">
        <v>1</v>
      </c>
      <c r="B3" s="116" t="s">
        <v>128</v>
      </c>
      <c r="D3" s="78">
        <v>490000</v>
      </c>
      <c r="E3" s="20">
        <f>ROUND(D3/100000,2)</f>
        <v>4.9000000000000004</v>
      </c>
      <c r="F3" s="20">
        <f>ROUND(D3/10000000,2)</f>
        <v>0.05</v>
      </c>
    </row>
    <row r="4" spans="1:6" ht="31.5" x14ac:dyDescent="0.25">
      <c r="A4" s="54">
        <v>2</v>
      </c>
      <c r="B4" s="116" t="s">
        <v>133</v>
      </c>
      <c r="D4" s="78">
        <v>132937322</v>
      </c>
      <c r="E4" s="20">
        <f>ROUND(D4/100000,2)</f>
        <v>1329.37</v>
      </c>
      <c r="F4" s="20">
        <f>ROUND(D4/10000000,2)</f>
        <v>13.29</v>
      </c>
    </row>
    <row r="5" spans="1:6" ht="31.5" x14ac:dyDescent="0.25">
      <c r="A5" s="54">
        <v>3</v>
      </c>
      <c r="B5" s="116" t="s">
        <v>212</v>
      </c>
      <c r="D5" s="78">
        <v>1000000000</v>
      </c>
      <c r="E5" s="20">
        <f>ROUNDUP(D5/100000,2)</f>
        <v>10000</v>
      </c>
      <c r="F5" s="20">
        <f>ROUND(D5/10000000,2)</f>
        <v>100</v>
      </c>
    </row>
    <row r="6" spans="1:6" x14ac:dyDescent="0.25">
      <c r="B6" s="19"/>
      <c r="D6" s="31"/>
      <c r="E6" s="20"/>
      <c r="F6" s="20"/>
    </row>
    <row r="7" spans="1:6" x14ac:dyDescent="0.25">
      <c r="C7" s="19"/>
      <c r="D7" s="56">
        <f>SUM(D3:D6)</f>
        <v>1133427322</v>
      </c>
      <c r="E7" s="21">
        <f>SUM(E3:E6)</f>
        <v>11334.27</v>
      </c>
      <c r="F7" s="21">
        <f>SUM(F3:F5)</f>
        <v>113.34</v>
      </c>
    </row>
    <row r="8" spans="1:6" ht="15.75" customHeight="1" x14ac:dyDescent="0.25">
      <c r="B8" s="171" t="s">
        <v>239</v>
      </c>
      <c r="C8" s="171"/>
    </row>
    <row r="9" spans="1:6" x14ac:dyDescent="0.25">
      <c r="B9" s="146"/>
      <c r="C9" s="146"/>
      <c r="D9" s="57"/>
      <c r="E9" s="22"/>
      <c r="F9" s="22"/>
    </row>
    <row r="10" spans="1:6" ht="31.5" x14ac:dyDescent="0.25">
      <c r="A10" s="54">
        <v>1</v>
      </c>
      <c r="B10" s="116" t="s">
        <v>22</v>
      </c>
      <c r="C10" s="76"/>
      <c r="D10" s="78">
        <v>34000000</v>
      </c>
      <c r="E10" s="20">
        <f t="shared" ref="E10:E35" si="0">ROUND(D10/100000,2)</f>
        <v>340</v>
      </c>
      <c r="F10" s="20">
        <f t="shared" ref="F10:F35" si="1">ROUND(D10/10000000,2)</f>
        <v>3.4</v>
      </c>
    </row>
    <row r="11" spans="1:6" ht="47.25" x14ac:dyDescent="0.25">
      <c r="A11" s="54">
        <v>2</v>
      </c>
      <c r="B11" s="116" t="s">
        <v>59</v>
      </c>
      <c r="C11" s="76"/>
      <c r="D11" s="78">
        <v>5000000</v>
      </c>
      <c r="E11" s="20">
        <f t="shared" si="0"/>
        <v>50</v>
      </c>
      <c r="F11" s="20">
        <f t="shared" si="1"/>
        <v>0.5</v>
      </c>
    </row>
    <row r="12" spans="1:6" ht="63" x14ac:dyDescent="0.25">
      <c r="A12" s="54">
        <v>3</v>
      </c>
      <c r="B12" s="116" t="s">
        <v>225</v>
      </c>
      <c r="C12" s="76"/>
      <c r="D12" s="78">
        <v>57535000</v>
      </c>
      <c r="E12" s="20">
        <f t="shared" si="0"/>
        <v>575.35</v>
      </c>
      <c r="F12" s="20">
        <f>ROUND(D12/10000000,2)</f>
        <v>5.75</v>
      </c>
    </row>
    <row r="13" spans="1:6" ht="63" x14ac:dyDescent="0.25">
      <c r="A13" s="54">
        <v>4</v>
      </c>
      <c r="B13" s="116" t="s">
        <v>226</v>
      </c>
      <c r="C13" s="76"/>
      <c r="D13" s="78">
        <v>3167000</v>
      </c>
      <c r="E13" s="20">
        <f>ROUND(D13/100000,2)</f>
        <v>31.67</v>
      </c>
      <c r="F13" s="20">
        <f>ROUND(D13/10000000,2)</f>
        <v>0.32</v>
      </c>
    </row>
    <row r="14" spans="1:6" ht="63" x14ac:dyDescent="0.25">
      <c r="A14" s="54">
        <v>5</v>
      </c>
      <c r="B14" s="116" t="s">
        <v>227</v>
      </c>
      <c r="C14" s="76"/>
      <c r="D14" s="78">
        <v>1050000</v>
      </c>
      <c r="E14" s="20">
        <f t="shared" si="0"/>
        <v>10.5</v>
      </c>
      <c r="F14" s="20">
        <f t="shared" si="1"/>
        <v>0.11</v>
      </c>
    </row>
    <row r="15" spans="1:6" ht="78.75" x14ac:dyDescent="0.25">
      <c r="A15" s="54">
        <v>6</v>
      </c>
      <c r="B15" s="116" t="s">
        <v>67</v>
      </c>
      <c r="C15" s="76"/>
      <c r="D15" s="78">
        <v>15000000</v>
      </c>
      <c r="E15" s="20">
        <f>ROUND(D15/100000,2)</f>
        <v>150</v>
      </c>
      <c r="F15" s="20">
        <f>ROUND(D15/10000000,2)</f>
        <v>1.5</v>
      </c>
    </row>
    <row r="16" spans="1:6" ht="47.25" x14ac:dyDescent="0.25">
      <c r="A16" s="54">
        <v>7</v>
      </c>
      <c r="B16" s="116" t="s">
        <v>140</v>
      </c>
      <c r="C16" s="76"/>
      <c r="D16" s="78">
        <v>26000000</v>
      </c>
      <c r="E16" s="20">
        <f>ROUND(D16/100000,2)</f>
        <v>260</v>
      </c>
      <c r="F16" s="20">
        <f>ROUND(D16/10000000,2)</f>
        <v>2.6</v>
      </c>
    </row>
    <row r="17" spans="1:6" ht="47.25" x14ac:dyDescent="0.25">
      <c r="A17" s="54">
        <v>8</v>
      </c>
      <c r="B17" s="116" t="s">
        <v>228</v>
      </c>
      <c r="C17" s="76"/>
      <c r="D17" s="78">
        <v>19000000</v>
      </c>
      <c r="E17" s="20">
        <f>ROUND(D17/100000,2)</f>
        <v>190</v>
      </c>
      <c r="F17" s="20">
        <f>ROUND(D17/10000000,2)</f>
        <v>1.9</v>
      </c>
    </row>
    <row r="18" spans="1:6" ht="63" x14ac:dyDescent="0.25">
      <c r="A18" s="54">
        <v>9</v>
      </c>
      <c r="B18" s="116" t="s">
        <v>229</v>
      </c>
      <c r="C18" s="77"/>
      <c r="D18" s="78">
        <v>-13929</v>
      </c>
      <c r="E18" s="20">
        <f>ROUND(D18/100000,2)</f>
        <v>-0.14000000000000001</v>
      </c>
      <c r="F18" s="20">
        <f>ROUND(D18/10000000,2)</f>
        <v>0</v>
      </c>
    </row>
    <row r="19" spans="1:6" ht="31.5" x14ac:dyDescent="0.25">
      <c r="A19" s="54">
        <v>10</v>
      </c>
      <c r="B19" s="116" t="s">
        <v>189</v>
      </c>
      <c r="C19" s="76"/>
      <c r="D19" s="78">
        <v>10000000</v>
      </c>
      <c r="E19" s="20">
        <f t="shared" si="0"/>
        <v>100</v>
      </c>
      <c r="F19" s="20">
        <f t="shared" si="1"/>
        <v>1</v>
      </c>
    </row>
    <row r="20" spans="1:6" ht="22.9" customHeight="1" x14ac:dyDescent="0.25">
      <c r="A20" s="54">
        <v>11</v>
      </c>
      <c r="B20" s="116" t="s">
        <v>141</v>
      </c>
      <c r="C20" s="76"/>
      <c r="D20" s="78">
        <v>15000000</v>
      </c>
      <c r="E20" s="20">
        <f t="shared" si="0"/>
        <v>150</v>
      </c>
      <c r="F20" s="20">
        <f t="shared" si="1"/>
        <v>1.5</v>
      </c>
    </row>
    <row r="21" spans="1:6" ht="47.25" x14ac:dyDescent="0.25">
      <c r="A21" s="54">
        <v>12</v>
      </c>
      <c r="B21" s="116" t="s">
        <v>73</v>
      </c>
      <c r="C21" s="76"/>
      <c r="D21" s="78">
        <v>6500000</v>
      </c>
      <c r="E21" s="20">
        <f t="shared" si="0"/>
        <v>65</v>
      </c>
      <c r="F21" s="20">
        <f t="shared" si="1"/>
        <v>0.65</v>
      </c>
    </row>
    <row r="22" spans="1:6" ht="31.5" x14ac:dyDescent="0.25">
      <c r="A22" s="54">
        <v>13</v>
      </c>
      <c r="B22" s="116" t="s">
        <v>211</v>
      </c>
      <c r="C22" s="76"/>
      <c r="D22" s="78">
        <v>1571500</v>
      </c>
      <c r="E22" s="20">
        <f>ROUNDDOWN(D22/100000,2)</f>
        <v>15.71</v>
      </c>
      <c r="F22" s="20">
        <f t="shared" si="1"/>
        <v>0.16</v>
      </c>
    </row>
    <row r="23" spans="1:6" ht="31.5" x14ac:dyDescent="0.25">
      <c r="A23" s="54">
        <v>14</v>
      </c>
      <c r="B23" s="116" t="s">
        <v>76</v>
      </c>
      <c r="C23" s="76"/>
      <c r="D23" s="78">
        <v>5000000</v>
      </c>
      <c r="E23" s="20">
        <f t="shared" si="0"/>
        <v>50</v>
      </c>
      <c r="F23" s="20">
        <f t="shared" si="1"/>
        <v>0.5</v>
      </c>
    </row>
    <row r="24" spans="1:6" ht="47.25" x14ac:dyDescent="0.25">
      <c r="A24" s="54">
        <v>15</v>
      </c>
      <c r="B24" s="116" t="s">
        <v>78</v>
      </c>
      <c r="C24" s="76"/>
      <c r="D24" s="78">
        <v>17225000</v>
      </c>
      <c r="E24" s="20">
        <f t="shared" si="0"/>
        <v>172.25</v>
      </c>
      <c r="F24" s="20">
        <f t="shared" si="1"/>
        <v>1.72</v>
      </c>
    </row>
    <row r="25" spans="1:6" ht="47.25" x14ac:dyDescent="0.25">
      <c r="A25" s="54">
        <v>16</v>
      </c>
      <c r="B25" s="116" t="s">
        <v>130</v>
      </c>
      <c r="C25" s="76"/>
      <c r="D25" s="78">
        <v>20000000</v>
      </c>
      <c r="E25" s="20">
        <f t="shared" ref="E25" si="2">ROUND(D25/100000,2)</f>
        <v>200</v>
      </c>
      <c r="F25" s="20">
        <f t="shared" ref="F25" si="3">ROUND(D25/10000000,2)</f>
        <v>2</v>
      </c>
    </row>
    <row r="26" spans="1:6" ht="63" x14ac:dyDescent="0.25">
      <c r="A26" s="54">
        <v>17</v>
      </c>
      <c r="B26" s="116" t="s">
        <v>81</v>
      </c>
      <c r="C26" s="76"/>
      <c r="D26" s="78">
        <v>52377000</v>
      </c>
      <c r="E26" s="20">
        <f>ROUND(D26/100000,2)</f>
        <v>523.77</v>
      </c>
      <c r="F26" s="20">
        <f>ROUND(D26/10000000,2)</f>
        <v>5.24</v>
      </c>
    </row>
    <row r="27" spans="1:6" ht="47.25" x14ac:dyDescent="0.25">
      <c r="A27" s="54">
        <v>7</v>
      </c>
      <c r="B27" s="116" t="s">
        <v>230</v>
      </c>
      <c r="C27" s="58"/>
      <c r="D27" s="78">
        <v>47043000</v>
      </c>
      <c r="E27" s="5">
        <f>ROUND(D27/100000,2)</f>
        <v>470.43</v>
      </c>
      <c r="F27" s="5">
        <f>ROUNDDOWN(D27/10000000,2)</f>
        <v>4.7</v>
      </c>
    </row>
    <row r="28" spans="1:6" ht="47.25" x14ac:dyDescent="0.25">
      <c r="A28" s="54">
        <v>18</v>
      </c>
      <c r="B28" s="116" t="s">
        <v>23</v>
      </c>
      <c r="C28" s="76"/>
      <c r="D28" s="78">
        <v>331080863</v>
      </c>
      <c r="E28" s="20">
        <f t="shared" si="0"/>
        <v>3310.81</v>
      </c>
      <c r="F28" s="20">
        <f>ROUND(D28/10000000,2)</f>
        <v>33.11</v>
      </c>
    </row>
    <row r="29" spans="1:6" x14ac:dyDescent="0.25">
      <c r="A29" s="54">
        <v>19</v>
      </c>
      <c r="B29" s="116" t="s">
        <v>190</v>
      </c>
      <c r="C29" s="48"/>
      <c r="D29" s="78">
        <v>200000000</v>
      </c>
      <c r="E29" s="20">
        <f>ROUND(D29/100000,2)</f>
        <v>2000</v>
      </c>
      <c r="F29" s="20">
        <f>ROUND(D29/10000000,2)</f>
        <v>20</v>
      </c>
    </row>
    <row r="30" spans="1:6" ht="47.25" x14ac:dyDescent="0.25">
      <c r="A30" s="54">
        <v>20</v>
      </c>
      <c r="B30" s="116" t="s">
        <v>85</v>
      </c>
      <c r="C30" s="76"/>
      <c r="D30" s="78">
        <v>4500000</v>
      </c>
      <c r="E30" s="20">
        <f t="shared" si="0"/>
        <v>45</v>
      </c>
      <c r="F30" s="20">
        <f t="shared" si="1"/>
        <v>0.45</v>
      </c>
    </row>
    <row r="31" spans="1:6" ht="47.25" x14ac:dyDescent="0.25">
      <c r="A31" s="54">
        <v>21</v>
      </c>
      <c r="B31" s="116" t="s">
        <v>131</v>
      </c>
      <c r="C31" s="76"/>
      <c r="D31" s="78">
        <v>5000000</v>
      </c>
      <c r="E31" s="20">
        <f t="shared" si="0"/>
        <v>50</v>
      </c>
      <c r="F31" s="20">
        <f t="shared" si="1"/>
        <v>0.5</v>
      </c>
    </row>
    <row r="32" spans="1:6" ht="31.5" x14ac:dyDescent="0.25">
      <c r="A32" s="54">
        <v>22</v>
      </c>
      <c r="B32" s="116" t="s">
        <v>142</v>
      </c>
      <c r="C32" s="76"/>
      <c r="D32" s="78">
        <v>104935511</v>
      </c>
      <c r="E32" s="20">
        <f t="shared" si="0"/>
        <v>1049.3599999999999</v>
      </c>
      <c r="F32" s="20">
        <f t="shared" si="1"/>
        <v>10.49</v>
      </c>
    </row>
    <row r="33" spans="1:6" x14ac:dyDescent="0.25">
      <c r="A33" s="54">
        <v>23</v>
      </c>
      <c r="B33" s="116" t="s">
        <v>143</v>
      </c>
      <c r="C33" s="76"/>
      <c r="D33" s="78">
        <v>5700000</v>
      </c>
      <c r="E33" s="20">
        <f t="shared" si="0"/>
        <v>57</v>
      </c>
      <c r="F33" s="20">
        <f t="shared" si="1"/>
        <v>0.56999999999999995</v>
      </c>
    </row>
    <row r="34" spans="1:6" ht="31.5" x14ac:dyDescent="0.25">
      <c r="A34" s="54">
        <v>24</v>
      </c>
      <c r="B34" s="116" t="s">
        <v>234</v>
      </c>
      <c r="C34" s="76"/>
      <c r="D34" s="78">
        <v>5000000</v>
      </c>
      <c r="E34" s="20">
        <f t="shared" si="0"/>
        <v>50</v>
      </c>
      <c r="F34" s="20">
        <f t="shared" si="1"/>
        <v>0.5</v>
      </c>
    </row>
    <row r="35" spans="1:6" ht="31.5" x14ac:dyDescent="0.25">
      <c r="A35" s="54">
        <v>25</v>
      </c>
      <c r="B35" s="116" t="s">
        <v>235</v>
      </c>
      <c r="C35" s="76"/>
      <c r="D35" s="78">
        <v>105000000</v>
      </c>
      <c r="E35" s="20">
        <f t="shared" si="0"/>
        <v>1050</v>
      </c>
      <c r="F35" s="20">
        <f t="shared" si="1"/>
        <v>10.5</v>
      </c>
    </row>
    <row r="36" spans="1:6" ht="47.25" x14ac:dyDescent="0.25">
      <c r="A36" s="54">
        <v>26</v>
      </c>
      <c r="B36" s="116" t="s">
        <v>93</v>
      </c>
      <c r="C36" s="58"/>
      <c r="D36" s="78">
        <v>12045000</v>
      </c>
      <c r="E36" s="20">
        <f t="shared" ref="E36" si="4">ROUND(D36/100000,2)</f>
        <v>120.45</v>
      </c>
      <c r="F36" s="20">
        <f t="shared" ref="F36" si="5">ROUND(D36/10000000,2)</f>
        <v>1.2</v>
      </c>
    </row>
    <row r="37" spans="1:6" x14ac:dyDescent="0.25">
      <c r="B37" s="19" t="s">
        <v>11</v>
      </c>
      <c r="C37" s="19"/>
      <c r="D37" s="79">
        <f>SUM(D10:D36)</f>
        <v>1108715945</v>
      </c>
      <c r="E37" s="33">
        <f>SUM(E10:E36)</f>
        <v>11087.160000000002</v>
      </c>
      <c r="F37" s="33">
        <f>SUM(F10:F36)</f>
        <v>110.86999999999999</v>
      </c>
    </row>
    <row r="38" spans="1:6" x14ac:dyDescent="0.25">
      <c r="C38" s="19"/>
      <c r="D38" s="59"/>
      <c r="E38" s="20"/>
      <c r="F38" s="20"/>
    </row>
    <row r="39" spans="1:6" x14ac:dyDescent="0.25">
      <c r="B39" s="19"/>
      <c r="C39" s="19"/>
      <c r="D39" s="59"/>
      <c r="E39" s="20"/>
      <c r="F39" s="20"/>
    </row>
    <row r="40" spans="1:6" ht="18.75" x14ac:dyDescent="0.3">
      <c r="B40" s="23" t="s">
        <v>24</v>
      </c>
      <c r="C40" s="19"/>
      <c r="D40" s="31"/>
      <c r="E40" s="20"/>
      <c r="F40" s="20"/>
    </row>
    <row r="41" spans="1:6" ht="31.5" x14ac:dyDescent="0.25">
      <c r="A41" s="54">
        <v>29</v>
      </c>
      <c r="B41" s="116" t="s">
        <v>237</v>
      </c>
      <c r="C41" s="58"/>
      <c r="D41" s="78">
        <v>195934870</v>
      </c>
      <c r="E41" s="20">
        <f t="shared" ref="E41" si="6">ROUND(D41/100000,2)</f>
        <v>1959.35</v>
      </c>
      <c r="F41" s="20">
        <f t="shared" ref="F41" si="7">ROUND(D41/10000000,2)</f>
        <v>19.59</v>
      </c>
    </row>
    <row r="42" spans="1:6" x14ac:dyDescent="0.25">
      <c r="C42" s="19"/>
      <c r="D42" s="73"/>
      <c r="E42" s="22"/>
      <c r="F42" s="22"/>
    </row>
    <row r="43" spans="1:6" x14ac:dyDescent="0.25">
      <c r="B43" s="19" t="s">
        <v>94</v>
      </c>
      <c r="C43" s="19"/>
      <c r="D43" s="79">
        <f>SUM(D41:D42)</f>
        <v>195934870</v>
      </c>
      <c r="E43" s="81">
        <f>SUM(E41:E42)</f>
        <v>1959.35</v>
      </c>
      <c r="F43" s="81">
        <f>SUM(F41:F42)</f>
        <v>19.59</v>
      </c>
    </row>
    <row r="44" spans="1:6" x14ac:dyDescent="0.25">
      <c r="B44" s="19"/>
      <c r="C44" s="19"/>
      <c r="D44" s="73"/>
    </row>
    <row r="45" spans="1:6" ht="18.75" x14ac:dyDescent="0.3">
      <c r="B45" s="172" t="s">
        <v>219</v>
      </c>
      <c r="C45" s="172"/>
      <c r="D45" s="75"/>
      <c r="E45" s="22"/>
      <c r="F45" s="22"/>
    </row>
    <row r="46" spans="1:6" ht="18.75" x14ac:dyDescent="0.3">
      <c r="B46" s="83"/>
      <c r="C46" s="83"/>
      <c r="D46" s="75"/>
      <c r="E46" s="22"/>
      <c r="F46" s="22"/>
    </row>
    <row r="47" spans="1:6" ht="31.5" x14ac:dyDescent="0.25">
      <c r="A47" s="54">
        <v>1</v>
      </c>
      <c r="B47" s="116" t="s">
        <v>62</v>
      </c>
      <c r="C47" s="48"/>
      <c r="D47" s="78">
        <v>221195996</v>
      </c>
      <c r="E47" s="20">
        <f>ROUND(D47/100000,2)</f>
        <v>2211.96</v>
      </c>
      <c r="F47" s="20">
        <f>ROUNDDOWN(D47/10000000,2)</f>
        <v>22.11</v>
      </c>
    </row>
    <row r="48" spans="1:6" ht="31.5" x14ac:dyDescent="0.25">
      <c r="A48" s="54">
        <v>2</v>
      </c>
      <c r="B48" s="116" t="s">
        <v>223</v>
      </c>
      <c r="C48" s="48"/>
      <c r="D48" s="78">
        <v>6000000</v>
      </c>
      <c r="E48" s="20">
        <f>ROUND(D48/100000,2)</f>
        <v>60</v>
      </c>
      <c r="F48" s="20">
        <f>ROUND(D48/10000000,2)</f>
        <v>0.6</v>
      </c>
    </row>
    <row r="49" spans="1:11" x14ac:dyDescent="0.25">
      <c r="A49" s="54">
        <v>3</v>
      </c>
      <c r="B49" s="116" t="s">
        <v>224</v>
      </c>
      <c r="C49" s="76"/>
      <c r="D49" s="78">
        <v>47300000</v>
      </c>
      <c r="E49" s="20">
        <f>ROUND(D49/100000,2)</f>
        <v>473</v>
      </c>
      <c r="F49" s="20">
        <f>ROUNDDOWN(D49/10000000,2)</f>
        <v>4.7300000000000004</v>
      </c>
    </row>
    <row r="50" spans="1:11" ht="31.5" x14ac:dyDescent="0.25">
      <c r="A50" s="54">
        <v>4</v>
      </c>
      <c r="B50" s="116" t="s">
        <v>132</v>
      </c>
      <c r="C50" s="76"/>
      <c r="D50" s="78">
        <v>76800000</v>
      </c>
      <c r="E50" s="20">
        <f t="shared" ref="E50:E52" si="8">ROUND(D50/100000,2)</f>
        <v>768</v>
      </c>
      <c r="F50" s="20">
        <f t="shared" ref="F50:F52" si="9">ROUNDDOWN(D50/10000000,2)</f>
        <v>7.68</v>
      </c>
    </row>
    <row r="51" spans="1:11" ht="47.25" x14ac:dyDescent="0.25">
      <c r="A51" s="54">
        <v>5</v>
      </c>
      <c r="B51" s="116" t="s">
        <v>232</v>
      </c>
      <c r="C51" s="76"/>
      <c r="D51" s="78">
        <v>674715648</v>
      </c>
      <c r="E51" s="20">
        <f t="shared" si="8"/>
        <v>6747.16</v>
      </c>
      <c r="F51" s="20">
        <f t="shared" si="9"/>
        <v>67.47</v>
      </c>
    </row>
    <row r="52" spans="1:11" ht="63" x14ac:dyDescent="0.25">
      <c r="A52" s="54">
        <v>6</v>
      </c>
      <c r="B52" s="116" t="s">
        <v>233</v>
      </c>
      <c r="C52" s="76"/>
      <c r="D52" s="78">
        <v>1048554</v>
      </c>
      <c r="E52" s="20">
        <f t="shared" si="8"/>
        <v>10.49</v>
      </c>
      <c r="F52" s="20">
        <f t="shared" si="9"/>
        <v>0.1</v>
      </c>
    </row>
    <row r="53" spans="1:11" ht="31.5" x14ac:dyDescent="0.25">
      <c r="A53" s="54">
        <v>8</v>
      </c>
      <c r="B53" s="116" t="s">
        <v>231</v>
      </c>
      <c r="C53" s="76"/>
      <c r="D53" s="78">
        <v>-79049950</v>
      </c>
      <c r="E53" s="20">
        <f>ROUND(D53/100000,2)</f>
        <v>-790.5</v>
      </c>
      <c r="F53" s="20">
        <f>ROUND(D53/10000000,2)</f>
        <v>-7.9</v>
      </c>
    </row>
    <row r="54" spans="1:11" x14ac:dyDescent="0.25">
      <c r="A54" s="54"/>
      <c r="B54" s="72"/>
      <c r="C54" s="76"/>
      <c r="D54" s="73"/>
      <c r="E54" s="20"/>
      <c r="F54" s="20"/>
    </row>
    <row r="55" spans="1:11" x14ac:dyDescent="0.25">
      <c r="A55" s="54"/>
      <c r="B55" s="24"/>
      <c r="C55" s="58"/>
      <c r="D55" s="57"/>
      <c r="E55" s="20"/>
      <c r="F55" s="20"/>
    </row>
    <row r="56" spans="1:11" x14ac:dyDescent="0.25">
      <c r="A56" s="54"/>
      <c r="B56" s="19" t="s">
        <v>11</v>
      </c>
      <c r="C56" s="19"/>
      <c r="D56" s="79">
        <f>SUM(D45:D55)</f>
        <v>948010248</v>
      </c>
      <c r="E56" s="21">
        <f>SUM(E45:E55)</f>
        <v>9480.1099999999988</v>
      </c>
      <c r="F56" s="21">
        <f>SUM(F45:F55)</f>
        <v>94.789999999999992</v>
      </c>
    </row>
    <row r="57" spans="1:11" x14ac:dyDescent="0.25">
      <c r="B57" s="19" t="s">
        <v>25</v>
      </c>
      <c r="D57" s="79">
        <f>+D37+D56+D7+D43</f>
        <v>3386088385</v>
      </c>
      <c r="E57" s="33">
        <f>+E37+E56+E7+E43</f>
        <v>33860.89</v>
      </c>
      <c r="F57" s="33">
        <f>+F37+F56+F7+F43</f>
        <v>338.59</v>
      </c>
    </row>
    <row r="58" spans="1:11" x14ac:dyDescent="0.25">
      <c r="B58" s="19"/>
      <c r="D58" s="74"/>
      <c r="E58" s="20"/>
      <c r="F58" s="20"/>
      <c r="J58">
        <v>11425274726</v>
      </c>
      <c r="K58" s="60"/>
    </row>
    <row r="59" spans="1:11" x14ac:dyDescent="0.25">
      <c r="B59" s="19"/>
      <c r="D59" s="74"/>
      <c r="E59" s="20"/>
    </row>
    <row r="60" spans="1:11" x14ac:dyDescent="0.25">
      <c r="B60" s="19" t="s">
        <v>26</v>
      </c>
      <c r="D60" s="78"/>
      <c r="F60" s="20"/>
    </row>
    <row r="61" spans="1:11" x14ac:dyDescent="0.25">
      <c r="B61" s="2">
        <v>4216</v>
      </c>
      <c r="C61" s="2" t="s">
        <v>27</v>
      </c>
      <c r="D61" s="73">
        <v>4600000</v>
      </c>
      <c r="E61" s="20">
        <f>ROUND(D61/100000,2)</f>
        <v>46</v>
      </c>
      <c r="F61" s="20">
        <f>ROUNDDOWN(D61/10000000,2)</f>
        <v>0.46</v>
      </c>
    </row>
    <row r="62" spans="1:11" x14ac:dyDescent="0.25">
      <c r="B62" s="2">
        <v>4408</v>
      </c>
      <c r="C62" s="2" t="s">
        <v>111</v>
      </c>
      <c r="D62" s="73">
        <v>2284570</v>
      </c>
      <c r="E62" s="20">
        <f t="shared" ref="E62:E72" si="10">ROUND(D62/100000,2)</f>
        <v>22.85</v>
      </c>
      <c r="F62" s="20">
        <f t="shared" ref="F62:F72" si="11">ROUNDDOWN(D62/10000000,2)</f>
        <v>0.22</v>
      </c>
    </row>
    <row r="63" spans="1:11" x14ac:dyDescent="0.25">
      <c r="B63" s="2">
        <v>4851</v>
      </c>
      <c r="C63" s="2" t="s">
        <v>28</v>
      </c>
      <c r="D63" s="73">
        <v>30234510</v>
      </c>
      <c r="E63" s="20">
        <f t="shared" si="10"/>
        <v>302.35000000000002</v>
      </c>
      <c r="F63" s="20">
        <f t="shared" si="11"/>
        <v>3.02</v>
      </c>
    </row>
    <row r="64" spans="1:11" x14ac:dyDescent="0.25">
      <c r="B64" s="2" t="s">
        <v>29</v>
      </c>
      <c r="C64" s="2" t="s">
        <v>112</v>
      </c>
      <c r="D64" s="73">
        <v>8656700</v>
      </c>
      <c r="E64" s="20">
        <f t="shared" si="10"/>
        <v>86.57</v>
      </c>
      <c r="F64" s="20">
        <f t="shared" si="11"/>
        <v>0.86</v>
      </c>
    </row>
    <row r="65" spans="1:11" x14ac:dyDescent="0.25">
      <c r="B65" s="2" t="s">
        <v>31</v>
      </c>
      <c r="C65" s="2" t="s">
        <v>113</v>
      </c>
      <c r="D65" s="73"/>
      <c r="E65" s="20">
        <f t="shared" si="10"/>
        <v>0</v>
      </c>
      <c r="F65" s="20">
        <f t="shared" si="11"/>
        <v>0</v>
      </c>
    </row>
    <row r="66" spans="1:11" x14ac:dyDescent="0.25">
      <c r="B66" s="2" t="s">
        <v>32</v>
      </c>
      <c r="C66" s="2" t="s">
        <v>114</v>
      </c>
      <c r="D66" s="73">
        <v>3376094</v>
      </c>
      <c r="E66" s="20">
        <f t="shared" si="10"/>
        <v>33.76</v>
      </c>
      <c r="F66" s="20">
        <f t="shared" si="11"/>
        <v>0.33</v>
      </c>
    </row>
    <row r="67" spans="1:11" x14ac:dyDescent="0.25">
      <c r="B67" s="2">
        <v>4405</v>
      </c>
      <c r="C67" s="2" t="s">
        <v>116</v>
      </c>
      <c r="D67" s="73"/>
      <c r="E67" s="20">
        <f t="shared" si="10"/>
        <v>0</v>
      </c>
      <c r="F67" s="20">
        <f t="shared" si="11"/>
        <v>0</v>
      </c>
    </row>
    <row r="68" spans="1:11" x14ac:dyDescent="0.25">
      <c r="B68" s="2">
        <v>4860</v>
      </c>
      <c r="C68" s="2" t="s">
        <v>117</v>
      </c>
      <c r="D68" s="73">
        <v>3500000</v>
      </c>
      <c r="E68" s="20">
        <f t="shared" si="10"/>
        <v>35</v>
      </c>
      <c r="F68" s="20">
        <f>ROUNDDOWN(D68/10000000,2)</f>
        <v>0.35</v>
      </c>
    </row>
    <row r="69" spans="1:11" x14ac:dyDescent="0.25">
      <c r="B69" s="2">
        <v>4404</v>
      </c>
      <c r="C69" s="2" t="s">
        <v>118</v>
      </c>
      <c r="D69" s="73">
        <v>29884342</v>
      </c>
      <c r="E69" s="20">
        <f t="shared" si="10"/>
        <v>298.83999999999997</v>
      </c>
      <c r="F69" s="20">
        <f t="shared" si="11"/>
        <v>2.98</v>
      </c>
    </row>
    <row r="70" spans="1:11" x14ac:dyDescent="0.25">
      <c r="B70" s="2">
        <v>4225</v>
      </c>
      <c r="D70" s="73">
        <v>11000000</v>
      </c>
      <c r="E70" s="20">
        <f t="shared" si="10"/>
        <v>110</v>
      </c>
      <c r="F70" s="20">
        <f t="shared" si="11"/>
        <v>1.1000000000000001</v>
      </c>
    </row>
    <row r="71" spans="1:11" x14ac:dyDescent="0.25">
      <c r="B71" s="2">
        <v>4425</v>
      </c>
      <c r="C71" s="2" t="s">
        <v>115</v>
      </c>
      <c r="D71" s="73">
        <v>61446451</v>
      </c>
      <c r="E71" s="20">
        <f t="shared" si="10"/>
        <v>614.46</v>
      </c>
      <c r="F71" s="20">
        <f t="shared" si="11"/>
        <v>6.14</v>
      </c>
      <c r="K71" s="140"/>
    </row>
    <row r="72" spans="1:11" x14ac:dyDescent="0.25">
      <c r="C72" s="19"/>
      <c r="D72" s="79">
        <f>SUM(D61:D71)</f>
        <v>154982667</v>
      </c>
      <c r="E72" s="21">
        <f t="shared" si="10"/>
        <v>1549.83</v>
      </c>
      <c r="F72" s="21">
        <f t="shared" si="11"/>
        <v>15.49</v>
      </c>
    </row>
    <row r="73" spans="1:11" x14ac:dyDescent="0.25">
      <c r="C73" s="19"/>
      <c r="D73" s="73"/>
      <c r="E73" s="20"/>
    </row>
    <row r="74" spans="1:11" x14ac:dyDescent="0.25">
      <c r="B74" s="19" t="s">
        <v>35</v>
      </c>
      <c r="C74" s="19" t="s">
        <v>216</v>
      </c>
      <c r="D74" s="78"/>
      <c r="F74" s="20"/>
    </row>
    <row r="75" spans="1:11" x14ac:dyDescent="0.25">
      <c r="A75" s="2">
        <v>4216</v>
      </c>
      <c r="B75" s="2" t="s">
        <v>27</v>
      </c>
      <c r="C75" s="19"/>
      <c r="D75" s="73">
        <v>35848772</v>
      </c>
      <c r="E75" s="20">
        <f t="shared" ref="E75:E80" si="12">ROUND(D75/100000,2)</f>
        <v>358.49</v>
      </c>
      <c r="F75" s="20">
        <f>ROUNDUP(D75/10000000,2)</f>
        <v>3.59</v>
      </c>
    </row>
    <row r="76" spans="1:11" x14ac:dyDescent="0.25">
      <c r="A76" s="2">
        <v>4851</v>
      </c>
      <c r="B76" s="2" t="s">
        <v>28</v>
      </c>
      <c r="C76" s="19"/>
      <c r="D76" s="73">
        <v>35585460</v>
      </c>
      <c r="E76" s="20">
        <f t="shared" si="12"/>
        <v>355.85</v>
      </c>
      <c r="F76" s="20">
        <f>ROUND(D76/10000000,2)</f>
        <v>3.56</v>
      </c>
    </row>
    <row r="77" spans="1:11" x14ac:dyDescent="0.25">
      <c r="A77" s="2">
        <v>4425</v>
      </c>
      <c r="B77" s="2" t="s">
        <v>30</v>
      </c>
      <c r="C77" s="19"/>
      <c r="D77" s="73">
        <v>11969746</v>
      </c>
      <c r="E77" s="20">
        <f>ROUND(D77/100000,2)</f>
        <v>119.7</v>
      </c>
      <c r="F77" s="20">
        <f>ROUND(D77/10000000,2)</f>
        <v>1.2</v>
      </c>
    </row>
    <row r="78" spans="1:11" x14ac:dyDescent="0.25">
      <c r="A78" s="2">
        <v>4408</v>
      </c>
      <c r="B78" s="2" t="s">
        <v>36</v>
      </c>
      <c r="C78" s="19"/>
      <c r="D78" s="73">
        <v>2211579</v>
      </c>
      <c r="E78" s="20">
        <f t="shared" si="12"/>
        <v>22.12</v>
      </c>
      <c r="F78" s="20">
        <f>ROUND(D78/10000000,2)</f>
        <v>0.22</v>
      </c>
    </row>
    <row r="79" spans="1:11" x14ac:dyDescent="0.25">
      <c r="A79" s="2">
        <v>4425</v>
      </c>
      <c r="B79" s="2" t="s">
        <v>33</v>
      </c>
      <c r="C79" s="19"/>
      <c r="D79" s="73">
        <v>3176946</v>
      </c>
      <c r="E79" s="20">
        <f t="shared" si="12"/>
        <v>31.77</v>
      </c>
      <c r="F79" s="20">
        <f>ROUND(D79/10000000,2)</f>
        <v>0.32</v>
      </c>
    </row>
    <row r="80" spans="1:11" x14ac:dyDescent="0.25">
      <c r="A80" s="2">
        <v>4425</v>
      </c>
      <c r="B80" s="2" t="s">
        <v>34</v>
      </c>
      <c r="C80" s="19"/>
      <c r="D80" s="73">
        <v>386282298</v>
      </c>
      <c r="E80" s="20">
        <f t="shared" si="12"/>
        <v>3862.82</v>
      </c>
      <c r="F80" s="20">
        <f>ROUND(D80/10000000,2)</f>
        <v>38.630000000000003</v>
      </c>
    </row>
    <row r="81" spans="1:12" x14ac:dyDescent="0.25">
      <c r="B81" s="19" t="s">
        <v>37</v>
      </c>
      <c r="C81" s="19">
        <f>SUM(C75:C80)</f>
        <v>0</v>
      </c>
      <c r="D81" s="79">
        <f>SUM(D75:D80)</f>
        <v>475074801</v>
      </c>
      <c r="E81" s="21">
        <f>SUM(E75:E80)</f>
        <v>4750.75</v>
      </c>
      <c r="F81" s="21">
        <f>F75+F76+F77+F78+F79+F80</f>
        <v>47.52</v>
      </c>
      <c r="K81" s="142"/>
    </row>
    <row r="82" spans="1:12" x14ac:dyDescent="0.25">
      <c r="D82" s="73"/>
      <c r="E82" s="20"/>
      <c r="F82" s="20"/>
      <c r="K82" s="2"/>
      <c r="L82" s="5"/>
    </row>
    <row r="83" spans="1:12" x14ac:dyDescent="0.25">
      <c r="B83" s="19" t="s">
        <v>38</v>
      </c>
      <c r="D83" s="59"/>
      <c r="E83" s="20"/>
      <c r="F83"/>
    </row>
    <row r="84" spans="1:12" x14ac:dyDescent="0.25">
      <c r="A84" s="19" t="s">
        <v>44</v>
      </c>
      <c r="B84" s="19"/>
      <c r="D84" s="59"/>
      <c r="E84" s="20"/>
      <c r="F84"/>
    </row>
    <row r="85" spans="1:12" x14ac:dyDescent="0.25">
      <c r="A85" s="2" t="s">
        <v>240</v>
      </c>
      <c r="B85" s="19"/>
      <c r="C85" s="5">
        <v>720018157</v>
      </c>
      <c r="D85" s="59">
        <f>ROUND(C85/100000,2)</f>
        <v>7200.18</v>
      </c>
      <c r="E85" s="20">
        <f>ROUND(D85/100,2)</f>
        <v>72</v>
      </c>
      <c r="F85"/>
    </row>
    <row r="86" spans="1:12" x14ac:dyDescent="0.25">
      <c r="A86" s="2" t="s">
        <v>242</v>
      </c>
      <c r="B86" s="19"/>
      <c r="C86" s="5">
        <v>345060000</v>
      </c>
      <c r="D86" s="59">
        <f t="shared" ref="D86" si="13">ROUND(C86/100000,2)</f>
        <v>3450.6</v>
      </c>
      <c r="E86" s="20">
        <f t="shared" ref="E86" si="14">ROUND(D86/100,2)</f>
        <v>34.51</v>
      </c>
      <c r="F86"/>
    </row>
    <row r="87" spans="1:12" x14ac:dyDescent="0.25">
      <c r="B87" s="19"/>
      <c r="C87" s="20"/>
      <c r="D87" s="59"/>
      <c r="E87" s="20"/>
      <c r="F87"/>
    </row>
    <row r="88" spans="1:12" x14ac:dyDescent="0.25">
      <c r="B88" s="19"/>
      <c r="C88" s="21">
        <f>SUM(C85:C87)</f>
        <v>1065078157</v>
      </c>
      <c r="D88" s="33">
        <f t="shared" ref="D88" si="15">ROUND(C88/100000,2)</f>
        <v>10650.78</v>
      </c>
      <c r="E88" s="21">
        <f t="shared" ref="E88" si="16">ROUND(D88/100,2)</f>
        <v>106.51</v>
      </c>
      <c r="F88"/>
    </row>
    <row r="89" spans="1:12" x14ac:dyDescent="0.25">
      <c r="B89" s="82"/>
      <c r="C89" s="80"/>
      <c r="D89" s="59"/>
      <c r="E89" s="20"/>
      <c r="F89" s="20"/>
    </row>
    <row r="90" spans="1:12" x14ac:dyDescent="0.25">
      <c r="A90" s="82"/>
      <c r="B90" s="82"/>
      <c r="C90" s="80"/>
      <c r="D90" s="59"/>
      <c r="E90" s="20"/>
      <c r="F90" s="20"/>
    </row>
    <row r="91" spans="1:12" x14ac:dyDescent="0.25">
      <c r="A91" s="82"/>
      <c r="B91" s="61" t="s">
        <v>39</v>
      </c>
      <c r="C91" s="80">
        <f>C88</f>
        <v>1065078157</v>
      </c>
      <c r="D91" s="80">
        <f>D88</f>
        <v>10650.78</v>
      </c>
      <c r="E91" s="80">
        <f>E88</f>
        <v>106.51</v>
      </c>
      <c r="F91" s="20"/>
    </row>
    <row r="92" spans="1:12" x14ac:dyDescent="0.25">
      <c r="A92" s="62"/>
      <c r="B92" s="61"/>
      <c r="C92" s="80"/>
      <c r="D92" s="59"/>
      <c r="E92" s="20"/>
      <c r="F92" s="20"/>
    </row>
    <row r="93" spans="1:12" x14ac:dyDescent="0.25">
      <c r="A93" s="62"/>
      <c r="B93" s="19" t="s">
        <v>40</v>
      </c>
      <c r="F93" s="20"/>
    </row>
    <row r="94" spans="1:12" x14ac:dyDescent="0.25">
      <c r="B94" s="19" t="s">
        <v>41</v>
      </c>
      <c r="C94" s="20">
        <v>15264109169</v>
      </c>
      <c r="D94" s="59">
        <f>ROUND(C94/100000,2)</f>
        <v>152641.09</v>
      </c>
      <c r="E94" s="20">
        <f>ROUND(D94/100,2)</f>
        <v>1526.41</v>
      </c>
      <c r="F94" s="20"/>
    </row>
    <row r="95" spans="1:12" x14ac:dyDescent="0.25">
      <c r="B95" s="19" t="s">
        <v>42</v>
      </c>
      <c r="C95" s="20">
        <f>D7</f>
        <v>1133427322</v>
      </c>
      <c r="D95" s="59">
        <f>+E7</f>
        <v>11334.27</v>
      </c>
      <c r="E95" s="20">
        <f>+F7</f>
        <v>113.34</v>
      </c>
      <c r="F95" s="20"/>
    </row>
    <row r="96" spans="1:12" x14ac:dyDescent="0.25">
      <c r="B96" s="19" t="s">
        <v>43</v>
      </c>
      <c r="C96" s="20"/>
      <c r="D96" s="59">
        <f>ROUND(C96/100000,2)</f>
        <v>0</v>
      </c>
      <c r="E96" s="20">
        <f>ROUND(D96/100,2)</f>
        <v>0</v>
      </c>
      <c r="F96" s="19"/>
    </row>
    <row r="97" spans="1:13" x14ac:dyDescent="0.25">
      <c r="B97" s="19" t="s">
        <v>11</v>
      </c>
      <c r="C97" s="20">
        <f>SUM(C94:C96)</f>
        <v>16397536491</v>
      </c>
      <c r="D97" s="59">
        <f>SUM(D94:D96)</f>
        <v>163975.35999999999</v>
      </c>
      <c r="E97" s="19">
        <f>SUM(E94:E96)</f>
        <v>1639.75</v>
      </c>
      <c r="L97" s="60"/>
    </row>
    <row r="98" spans="1:13" x14ac:dyDescent="0.25">
      <c r="B98" s="19"/>
      <c r="C98" s="20"/>
      <c r="D98" s="59"/>
    </row>
    <row r="99" spans="1:13" x14ac:dyDescent="0.25">
      <c r="A99"/>
      <c r="B99" s="19" t="s">
        <v>44</v>
      </c>
      <c r="C99" s="20"/>
      <c r="D99" s="59"/>
      <c r="F99" s="20"/>
    </row>
    <row r="100" spans="1:13" x14ac:dyDescent="0.25">
      <c r="A100"/>
      <c r="B100" s="19" t="s">
        <v>41</v>
      </c>
      <c r="C100" s="20">
        <f>53132151367</f>
        <v>53132151367</v>
      </c>
      <c r="D100" s="59">
        <f>ROUND(C100/100000,2)</f>
        <v>531321.51</v>
      </c>
      <c r="E100" s="20">
        <f>ROUND(C100/10000000,2)</f>
        <v>5313.22</v>
      </c>
    </row>
    <row r="101" spans="1:13" x14ac:dyDescent="0.25">
      <c r="A101"/>
      <c r="B101" s="19" t="s">
        <v>42</v>
      </c>
      <c r="C101" s="20">
        <f>D37</f>
        <v>1108715945</v>
      </c>
      <c r="D101" s="59">
        <f>+E37</f>
        <v>11087.160000000002</v>
      </c>
      <c r="E101" s="20">
        <f>+F37</f>
        <v>110.86999999999999</v>
      </c>
      <c r="F101" s="20"/>
    </row>
    <row r="102" spans="1:13" x14ac:dyDescent="0.25">
      <c r="A102"/>
      <c r="B102" s="19" t="s">
        <v>43</v>
      </c>
      <c r="C102" s="20">
        <f>C85+C86+C87</f>
        <v>1065078157</v>
      </c>
      <c r="D102" s="31">
        <f>ROUND(C102/100000,2)</f>
        <v>10650.78</v>
      </c>
      <c r="E102" s="20">
        <f>ROUND(D102/100,2)</f>
        <v>106.51</v>
      </c>
      <c r="F102" s="20"/>
    </row>
    <row r="103" spans="1:13" x14ac:dyDescent="0.25">
      <c r="A103"/>
      <c r="B103" s="19" t="s">
        <v>11</v>
      </c>
      <c r="C103" s="20">
        <f>SUM(C100:C102)</f>
        <v>55305945469</v>
      </c>
      <c r="D103" s="59">
        <f>SUM(D100:D102)</f>
        <v>553059.45000000007</v>
      </c>
      <c r="E103" s="20">
        <f>SUM(E100:E102)</f>
        <v>5530.6</v>
      </c>
      <c r="L103" s="60"/>
    </row>
    <row r="104" spans="1:13" x14ac:dyDescent="0.25">
      <c r="A104"/>
      <c r="B104" s="19"/>
      <c r="C104" s="20"/>
      <c r="D104" s="31"/>
      <c r="M104" s="63"/>
    </row>
    <row r="105" spans="1:13" x14ac:dyDescent="0.25">
      <c r="A105"/>
      <c r="B105" s="19"/>
      <c r="C105" s="20"/>
      <c r="D105" s="31"/>
    </row>
    <row r="106" spans="1:13" x14ac:dyDescent="0.25">
      <c r="A106"/>
      <c r="B106" s="19" t="s">
        <v>45</v>
      </c>
      <c r="C106" s="20"/>
      <c r="D106" s="31"/>
      <c r="F106" s="20"/>
    </row>
    <row r="107" spans="1:13" x14ac:dyDescent="0.25">
      <c r="A107"/>
      <c r="B107" s="19" t="s">
        <v>41</v>
      </c>
      <c r="C107" s="20">
        <v>19411236295</v>
      </c>
      <c r="D107" s="59">
        <f>ROUND(C107/100000,2)</f>
        <v>194112.36</v>
      </c>
      <c r="E107" s="20">
        <f>ROUND(C107/10000000,2)</f>
        <v>1941.12</v>
      </c>
      <c r="F107" s="20"/>
    </row>
    <row r="108" spans="1:13" x14ac:dyDescent="0.25">
      <c r="A108"/>
      <c r="B108" s="19" t="s">
        <v>42</v>
      </c>
      <c r="C108" s="20">
        <f>D43</f>
        <v>195934870</v>
      </c>
      <c r="D108" s="59">
        <f>+E43</f>
        <v>1959.35</v>
      </c>
      <c r="E108" s="20">
        <f>+F43</f>
        <v>19.59</v>
      </c>
      <c r="F108" s="20"/>
    </row>
    <row r="109" spans="1:13" x14ac:dyDescent="0.25">
      <c r="A109"/>
      <c r="B109" s="19" t="s">
        <v>43</v>
      </c>
      <c r="C109" s="20">
        <v>0</v>
      </c>
      <c r="D109" s="59">
        <f>ROUND(C109/100000,2)</f>
        <v>0</v>
      </c>
      <c r="E109" s="20">
        <f>ROUND(D109/100,2)</f>
        <v>0</v>
      </c>
      <c r="F109" s="20"/>
    </row>
    <row r="110" spans="1:13" x14ac:dyDescent="0.25">
      <c r="A110"/>
      <c r="B110" s="19" t="s">
        <v>11</v>
      </c>
      <c r="C110" s="20">
        <f>SUM(C107:C109)</f>
        <v>19607171165</v>
      </c>
      <c r="D110" s="59">
        <f>SUM(D107:D109)</f>
        <v>196071.71</v>
      </c>
      <c r="E110" s="20">
        <f>SUM(E107:E109)</f>
        <v>1960.7099999999998</v>
      </c>
      <c r="K110">
        <v>19607171165</v>
      </c>
      <c r="L110" s="60">
        <f>C110-K110</f>
        <v>0</v>
      </c>
    </row>
    <row r="111" spans="1:13" x14ac:dyDescent="0.25">
      <c r="A111"/>
      <c r="B111" s="19"/>
      <c r="C111" s="20"/>
      <c r="D111" s="31"/>
    </row>
    <row r="112" spans="1:13" x14ac:dyDescent="0.25">
      <c r="A112"/>
      <c r="B112" s="19" t="s">
        <v>46</v>
      </c>
      <c r="C112" s="20"/>
      <c r="D112" s="59"/>
      <c r="F112" s="20" t="s">
        <v>47</v>
      </c>
    </row>
    <row r="113" spans="1:6" x14ac:dyDescent="0.25">
      <c r="A113"/>
      <c r="B113" s="19" t="s">
        <v>41</v>
      </c>
      <c r="C113" s="20">
        <v>18219149018</v>
      </c>
      <c r="D113" s="59">
        <f>ROUND(C113/100000,2)</f>
        <v>182191.49</v>
      </c>
      <c r="E113" s="20">
        <f>ROUNDUP(C113/10000000,2)</f>
        <v>1821.92</v>
      </c>
      <c r="F113" s="20"/>
    </row>
    <row r="114" spans="1:6" x14ac:dyDescent="0.25">
      <c r="A114"/>
      <c r="B114" s="19" t="s">
        <v>42</v>
      </c>
      <c r="C114" s="20">
        <f>+D72</f>
        <v>154982667</v>
      </c>
      <c r="D114" s="59">
        <f>ROUND(C114/100000,2)</f>
        <v>1549.83</v>
      </c>
      <c r="E114" s="20">
        <f>ROUND(C114/10000000,2)</f>
        <v>15.5</v>
      </c>
      <c r="F114" s="20"/>
    </row>
    <row r="115" spans="1:6" x14ac:dyDescent="0.25">
      <c r="A115"/>
      <c r="B115" s="19" t="s">
        <v>43</v>
      </c>
      <c r="C115" s="20">
        <f>+D81</f>
        <v>475074801</v>
      </c>
      <c r="D115" s="59">
        <f>ROUND(C115/100000,2)</f>
        <v>4750.75</v>
      </c>
      <c r="E115" s="20">
        <f>ROUND(D115/100,2)</f>
        <v>47.51</v>
      </c>
      <c r="F115" s="19"/>
    </row>
    <row r="116" spans="1:6" x14ac:dyDescent="0.25">
      <c r="A116"/>
      <c r="B116" s="19" t="s">
        <v>11</v>
      </c>
      <c r="C116" s="20">
        <f>+C113+C114-C115</f>
        <v>17899056884</v>
      </c>
      <c r="D116" s="59">
        <f>+D113+D114-D115</f>
        <v>178990.56999999998</v>
      </c>
      <c r="E116" s="20">
        <f>+E113+E114-E115</f>
        <v>1789.91</v>
      </c>
    </row>
    <row r="117" spans="1:6" x14ac:dyDescent="0.25">
      <c r="A117"/>
      <c r="C117" s="5"/>
    </row>
    <row r="118" spans="1:6" x14ac:dyDescent="0.25">
      <c r="A118"/>
      <c r="B118" s="19" t="s">
        <v>122</v>
      </c>
      <c r="C118" s="5"/>
      <c r="F118" s="20"/>
    </row>
    <row r="119" spans="1:6" x14ac:dyDescent="0.25">
      <c r="A119"/>
      <c r="B119" s="19" t="s">
        <v>41</v>
      </c>
      <c r="C119" s="20">
        <f>106026645849</f>
        <v>106026645849</v>
      </c>
      <c r="D119" s="59">
        <f>ROUND(C119/100000,2)</f>
        <v>1060266.46</v>
      </c>
      <c r="E119" s="20">
        <f>ROUND(C119/10000000,2)</f>
        <v>10602.66</v>
      </c>
      <c r="F119" s="64"/>
    </row>
    <row r="120" spans="1:6" x14ac:dyDescent="0.25">
      <c r="A120"/>
      <c r="B120" s="19" t="s">
        <v>42</v>
      </c>
      <c r="C120" s="20">
        <f>C95+C101+C108+C114</f>
        <v>2593060804</v>
      </c>
      <c r="D120" s="20">
        <f>D95+D101+D108+D114</f>
        <v>25930.61</v>
      </c>
      <c r="E120" s="20">
        <f t="shared" ref="E120:E121" si="17">ROUND(C120/10000000,2)</f>
        <v>259.31</v>
      </c>
      <c r="F120" s="20"/>
    </row>
    <row r="121" spans="1:6" x14ac:dyDescent="0.25">
      <c r="A121"/>
      <c r="B121" s="19" t="s">
        <v>43</v>
      </c>
      <c r="C121" s="20">
        <f>C102+C109-C115+C96</f>
        <v>590003356</v>
      </c>
      <c r="D121" s="59">
        <f>ROUND(C121/100000,2)</f>
        <v>5900.03</v>
      </c>
      <c r="E121" s="20">
        <f t="shared" si="17"/>
        <v>59</v>
      </c>
      <c r="F121" s="19"/>
    </row>
    <row r="122" spans="1:6" x14ac:dyDescent="0.25">
      <c r="A122"/>
      <c r="B122" s="19" t="s">
        <v>11</v>
      </c>
      <c r="C122" s="20">
        <f>SUM(C119:C121)</f>
        <v>109209710009</v>
      </c>
      <c r="D122" s="59">
        <f>SUM(D119:D121)</f>
        <v>1092097.1000000001</v>
      </c>
      <c r="E122" s="19">
        <f>SUM(E119:E121)</f>
        <v>10920.97</v>
      </c>
    </row>
    <row r="123" spans="1:6" x14ac:dyDescent="0.25">
      <c r="A123"/>
      <c r="C123" s="20"/>
    </row>
    <row r="124" spans="1:6" x14ac:dyDescent="0.25">
      <c r="A124"/>
      <c r="C124" s="20"/>
      <c r="F124" s="20"/>
    </row>
    <row r="125" spans="1:6" ht="15.75" hidden="1" customHeight="1" x14ac:dyDescent="0.25">
      <c r="A125"/>
      <c r="B125" s="19" t="s">
        <v>41</v>
      </c>
      <c r="C125" s="20">
        <f t="shared" ref="C125:E126" si="18">+C94+C100+C107+C113</f>
        <v>106026645849</v>
      </c>
      <c r="D125" s="59">
        <f t="shared" si="18"/>
        <v>1060266.45</v>
      </c>
      <c r="E125" s="20">
        <f t="shared" si="18"/>
        <v>10602.67</v>
      </c>
      <c r="F125" s="20"/>
    </row>
    <row r="126" spans="1:6" ht="15.75" hidden="1" customHeight="1" x14ac:dyDescent="0.25">
      <c r="A126"/>
      <c r="B126" s="19" t="s">
        <v>42</v>
      </c>
      <c r="C126" s="20">
        <f>+C95+C101+C108+C114</f>
        <v>2593060804</v>
      </c>
      <c r="D126" s="59">
        <f>+D95+D101+D108+D114</f>
        <v>25930.61</v>
      </c>
      <c r="E126" s="20">
        <f t="shared" si="18"/>
        <v>259.29999999999995</v>
      </c>
      <c r="F126" s="20"/>
    </row>
    <row r="127" spans="1:6" ht="15.75" hidden="1" customHeight="1" x14ac:dyDescent="0.25">
      <c r="A127"/>
      <c r="B127" s="19" t="s">
        <v>43</v>
      </c>
      <c r="C127" s="20">
        <f>+C96+C102-C115+C109</f>
        <v>590003356</v>
      </c>
      <c r="D127" s="59">
        <f>+D96+D102-D115+D109</f>
        <v>5900.0300000000007</v>
      </c>
      <c r="E127" s="20">
        <f>+E96+E102-E115+E109</f>
        <v>59.000000000000007</v>
      </c>
      <c r="F127" s="19"/>
    </row>
    <row r="128" spans="1:6" ht="15.75" hidden="1" customHeight="1" x14ac:dyDescent="0.25">
      <c r="A128"/>
      <c r="B128" s="19" t="s">
        <v>11</v>
      </c>
      <c r="C128" s="20">
        <f>SUM(C125:C127)</f>
        <v>109209710009</v>
      </c>
      <c r="D128" s="59">
        <f>SUM(D125:D127)</f>
        <v>1092097.0900000001</v>
      </c>
      <c r="E128" s="20">
        <f>+E97+E103+E110+E116</f>
        <v>10920.97</v>
      </c>
    </row>
    <row r="129" spans="1:6" ht="15.75" hidden="1" customHeight="1" x14ac:dyDescent="0.25">
      <c r="A129"/>
      <c r="C129" s="5"/>
    </row>
    <row r="130" spans="1:6" ht="15.75" hidden="1" customHeight="1" x14ac:dyDescent="0.25">
      <c r="A130"/>
      <c r="C130" s="5"/>
    </row>
    <row r="131" spans="1:6" ht="15.75" hidden="1" customHeight="1" x14ac:dyDescent="0.25">
      <c r="A131"/>
      <c r="B131" s="19"/>
      <c r="C131" s="20"/>
      <c r="D131" s="59"/>
      <c r="E131" s="20"/>
      <c r="F131" s="5"/>
    </row>
    <row r="132" spans="1:6" ht="15.75" hidden="1" customHeight="1" x14ac:dyDescent="0.25">
      <c r="A132"/>
      <c r="B132" s="19" t="s">
        <v>42</v>
      </c>
      <c r="C132" s="20">
        <f>C120+C114+C108+C101+C95</f>
        <v>5186121608</v>
      </c>
      <c r="D132" s="59">
        <f>ROUND(C132/100000,2)</f>
        <v>51861.22</v>
      </c>
      <c r="E132" s="20">
        <f>ROUND(C132/10000000,2)</f>
        <v>518.61</v>
      </c>
      <c r="F132" s="5"/>
    </row>
    <row r="133" spans="1:6" ht="15.75" hidden="1" customHeight="1" x14ac:dyDescent="0.25">
      <c r="A133"/>
      <c r="B133" s="19" t="s">
        <v>43</v>
      </c>
      <c r="C133" s="20">
        <f>C121-C115+C109+C102+C96</f>
        <v>1180006712</v>
      </c>
      <c r="D133" s="59">
        <f>ROUND(C133/100000,2)</f>
        <v>11800.07</v>
      </c>
      <c r="E133" s="20">
        <f>ROUND(C133/10000000,2)</f>
        <v>118</v>
      </c>
      <c r="F133" s="5"/>
    </row>
    <row r="134" spans="1:6" ht="15.75" hidden="1" customHeight="1" x14ac:dyDescent="0.25">
      <c r="A134"/>
      <c r="B134" s="19" t="s">
        <v>11</v>
      </c>
      <c r="C134" s="20">
        <f>C122+C116+C110+C103+C97</f>
        <v>218419420018</v>
      </c>
      <c r="D134" s="59">
        <f>SUM(D131:D133)</f>
        <v>63661.29</v>
      </c>
      <c r="E134" s="20">
        <f>SUM(E131:E133)</f>
        <v>636.61</v>
      </c>
      <c r="F134" s="5"/>
    </row>
    <row r="135" spans="1:6" ht="15.75" hidden="1" customHeight="1" x14ac:dyDescent="0.25">
      <c r="A135"/>
      <c r="C135" s="19"/>
      <c r="D135" s="59"/>
      <c r="E135" s="20"/>
    </row>
    <row r="136" spans="1:6" ht="15.75" hidden="1" customHeight="1" x14ac:dyDescent="0.25">
      <c r="A136"/>
    </row>
    <row r="137" spans="1:6" x14ac:dyDescent="0.25">
      <c r="A137"/>
      <c r="B137" s="19"/>
      <c r="D137" s="65"/>
    </row>
    <row r="138" spans="1:6" x14ac:dyDescent="0.25">
      <c r="A138"/>
      <c r="B138" s="19"/>
      <c r="F138" s="20"/>
    </row>
    <row r="139" spans="1:6" x14ac:dyDescent="0.25">
      <c r="A139"/>
      <c r="E139" s="20"/>
    </row>
    <row r="140" spans="1:6" x14ac:dyDescent="0.25">
      <c r="A140"/>
      <c r="C140" s="5"/>
    </row>
    <row r="141" spans="1:6" x14ac:dyDescent="0.25">
      <c r="A141"/>
      <c r="B141" s="19"/>
    </row>
    <row r="142" spans="1:6" x14ac:dyDescent="0.25">
      <c r="A142"/>
      <c r="C142" s="1"/>
      <c r="D142" s="53"/>
    </row>
    <row r="143" spans="1:6" x14ac:dyDescent="0.25">
      <c r="A143"/>
    </row>
    <row r="144" spans="1:6" x14ac:dyDescent="0.25">
      <c r="A144"/>
    </row>
    <row r="146" spans="1:6" x14ac:dyDescent="0.25">
      <c r="A146"/>
    </row>
    <row r="147" spans="1:6" x14ac:dyDescent="0.25">
      <c r="A147"/>
      <c r="B147"/>
      <c r="C147"/>
      <c r="D147"/>
      <c r="E147"/>
      <c r="F147"/>
    </row>
    <row r="148" spans="1:6" x14ac:dyDescent="0.25">
      <c r="A148"/>
      <c r="B148"/>
      <c r="C148"/>
      <c r="D148"/>
      <c r="E148"/>
      <c r="F148"/>
    </row>
    <row r="150" spans="1:6" x14ac:dyDescent="0.25">
      <c r="A150"/>
      <c r="B150"/>
      <c r="C150"/>
      <c r="D150"/>
      <c r="E150"/>
      <c r="F150"/>
    </row>
    <row r="151" spans="1:6" x14ac:dyDescent="0.25">
      <c r="A151"/>
      <c r="B151"/>
      <c r="C151"/>
      <c r="D151"/>
      <c r="E151"/>
      <c r="F151"/>
    </row>
  </sheetData>
  <mergeCells count="4">
    <mergeCell ref="A1:F1"/>
    <mergeCell ref="B2:C2"/>
    <mergeCell ref="B8:C9"/>
    <mergeCell ref="B45:C45"/>
  </mergeCells>
  <printOptions horizontalCentered="1" gridLines="1"/>
  <pageMargins left="0.70866141732283505" right="0.70866141732283505" top="0.74803149606299202" bottom="0.74803149606299202" header="0.31496062992126" footer="0.31496062992126"/>
  <pageSetup paperSize="9" scale="80" orientation="portrait" r:id="rId1"/>
  <rowBreaks count="3" manualBreakCount="3">
    <brk id="23" max="6" man="1"/>
    <brk id="39" max="6" man="1"/>
    <brk id="82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41"/>
  <sheetViews>
    <sheetView view="pageBreakPreview" topLeftCell="A38" zoomScaleSheetLayoutView="100" workbookViewId="0">
      <selection activeCell="J42" sqref="J42"/>
    </sheetView>
  </sheetViews>
  <sheetFormatPr defaultRowHeight="15.75" x14ac:dyDescent="0.25"/>
  <cols>
    <col min="1" max="1" width="2.21875" style="67" customWidth="1"/>
    <col min="2" max="2" width="7.21875" style="67" customWidth="1"/>
    <col min="3" max="3" width="7.109375" style="67" customWidth="1"/>
    <col min="4" max="4" width="7.88671875" style="67" hidden="1" customWidth="1"/>
    <col min="5" max="5" width="8.77734375" style="67" hidden="1" customWidth="1"/>
    <col min="6" max="6" width="7.44140625" style="67" hidden="1" customWidth="1"/>
    <col min="7" max="7" width="7.88671875" style="67" hidden="1" customWidth="1"/>
    <col min="8" max="8" width="29.88671875" style="134" customWidth="1"/>
    <col min="9" max="9" width="16.6640625" style="128" customWidth="1"/>
    <col min="10" max="256" width="8.77734375" style="67"/>
    <col min="257" max="257" width="2.21875" style="67" customWidth="1"/>
    <col min="258" max="258" width="7.21875" style="67" customWidth="1"/>
    <col min="259" max="259" width="7.109375" style="67" customWidth="1"/>
    <col min="260" max="260" width="7.88671875" style="67" customWidth="1"/>
    <col min="261" max="261" width="8.77734375" style="67" customWidth="1"/>
    <col min="262" max="262" width="7.44140625" style="67" customWidth="1"/>
    <col min="263" max="263" width="7.88671875" style="67" customWidth="1"/>
    <col min="264" max="264" width="29.44140625" style="67" customWidth="1"/>
    <col min="265" max="265" width="15" style="67" bestFit="1" customWidth="1"/>
    <col min="266" max="512" width="8.77734375" style="67"/>
    <col min="513" max="513" width="2.21875" style="67" customWidth="1"/>
    <col min="514" max="514" width="7.21875" style="67" customWidth="1"/>
    <col min="515" max="515" width="7.109375" style="67" customWidth="1"/>
    <col min="516" max="516" width="7.88671875" style="67" customWidth="1"/>
    <col min="517" max="517" width="8.77734375" style="67" customWidth="1"/>
    <col min="518" max="518" width="7.44140625" style="67" customWidth="1"/>
    <col min="519" max="519" width="7.88671875" style="67" customWidth="1"/>
    <col min="520" max="520" width="29.44140625" style="67" customWidth="1"/>
    <col min="521" max="521" width="15" style="67" bestFit="1" customWidth="1"/>
    <col min="522" max="768" width="8.77734375" style="67"/>
    <col min="769" max="769" width="2.21875" style="67" customWidth="1"/>
    <col min="770" max="770" width="7.21875" style="67" customWidth="1"/>
    <col min="771" max="771" width="7.109375" style="67" customWidth="1"/>
    <col min="772" max="772" width="7.88671875" style="67" customWidth="1"/>
    <col min="773" max="773" width="8.77734375" style="67" customWidth="1"/>
    <col min="774" max="774" width="7.44140625" style="67" customWidth="1"/>
    <col min="775" max="775" width="7.88671875" style="67" customWidth="1"/>
    <col min="776" max="776" width="29.44140625" style="67" customWidth="1"/>
    <col min="777" max="777" width="15" style="67" bestFit="1" customWidth="1"/>
    <col min="778" max="1024" width="8.77734375" style="67"/>
    <col min="1025" max="1025" width="2.21875" style="67" customWidth="1"/>
    <col min="1026" max="1026" width="7.21875" style="67" customWidth="1"/>
    <col min="1027" max="1027" width="7.109375" style="67" customWidth="1"/>
    <col min="1028" max="1028" width="7.88671875" style="67" customWidth="1"/>
    <col min="1029" max="1029" width="8.77734375" style="67" customWidth="1"/>
    <col min="1030" max="1030" width="7.44140625" style="67" customWidth="1"/>
    <col min="1031" max="1031" width="7.88671875" style="67" customWidth="1"/>
    <col min="1032" max="1032" width="29.44140625" style="67" customWidth="1"/>
    <col min="1033" max="1033" width="15" style="67" bestFit="1" customWidth="1"/>
    <col min="1034" max="1280" width="8.77734375" style="67"/>
    <col min="1281" max="1281" width="2.21875" style="67" customWidth="1"/>
    <col min="1282" max="1282" width="7.21875" style="67" customWidth="1"/>
    <col min="1283" max="1283" width="7.109375" style="67" customWidth="1"/>
    <col min="1284" max="1284" width="7.88671875" style="67" customWidth="1"/>
    <col min="1285" max="1285" width="8.77734375" style="67" customWidth="1"/>
    <col min="1286" max="1286" width="7.44140625" style="67" customWidth="1"/>
    <col min="1287" max="1287" width="7.88671875" style="67" customWidth="1"/>
    <col min="1288" max="1288" width="29.44140625" style="67" customWidth="1"/>
    <col min="1289" max="1289" width="15" style="67" bestFit="1" customWidth="1"/>
    <col min="1290" max="1536" width="8.77734375" style="67"/>
    <col min="1537" max="1537" width="2.21875" style="67" customWidth="1"/>
    <col min="1538" max="1538" width="7.21875" style="67" customWidth="1"/>
    <col min="1539" max="1539" width="7.109375" style="67" customWidth="1"/>
    <col min="1540" max="1540" width="7.88671875" style="67" customWidth="1"/>
    <col min="1541" max="1541" width="8.77734375" style="67" customWidth="1"/>
    <col min="1542" max="1542" width="7.44140625" style="67" customWidth="1"/>
    <col min="1543" max="1543" width="7.88671875" style="67" customWidth="1"/>
    <col min="1544" max="1544" width="29.44140625" style="67" customWidth="1"/>
    <col min="1545" max="1545" width="15" style="67" bestFit="1" customWidth="1"/>
    <col min="1546" max="1792" width="8.77734375" style="67"/>
    <col min="1793" max="1793" width="2.21875" style="67" customWidth="1"/>
    <col min="1794" max="1794" width="7.21875" style="67" customWidth="1"/>
    <col min="1795" max="1795" width="7.109375" style="67" customWidth="1"/>
    <col min="1796" max="1796" width="7.88671875" style="67" customWidth="1"/>
    <col min="1797" max="1797" width="8.77734375" style="67" customWidth="1"/>
    <col min="1798" max="1798" width="7.44140625" style="67" customWidth="1"/>
    <col min="1799" max="1799" width="7.88671875" style="67" customWidth="1"/>
    <col min="1800" max="1800" width="29.44140625" style="67" customWidth="1"/>
    <col min="1801" max="1801" width="15" style="67" bestFit="1" customWidth="1"/>
    <col min="1802" max="2048" width="8.77734375" style="67"/>
    <col min="2049" max="2049" width="2.21875" style="67" customWidth="1"/>
    <col min="2050" max="2050" width="7.21875" style="67" customWidth="1"/>
    <col min="2051" max="2051" width="7.109375" style="67" customWidth="1"/>
    <col min="2052" max="2052" width="7.88671875" style="67" customWidth="1"/>
    <col min="2053" max="2053" width="8.77734375" style="67" customWidth="1"/>
    <col min="2054" max="2054" width="7.44140625" style="67" customWidth="1"/>
    <col min="2055" max="2055" width="7.88671875" style="67" customWidth="1"/>
    <col min="2056" max="2056" width="29.44140625" style="67" customWidth="1"/>
    <col min="2057" max="2057" width="15" style="67" bestFit="1" customWidth="1"/>
    <col min="2058" max="2304" width="8.77734375" style="67"/>
    <col min="2305" max="2305" width="2.21875" style="67" customWidth="1"/>
    <col min="2306" max="2306" width="7.21875" style="67" customWidth="1"/>
    <col min="2307" max="2307" width="7.109375" style="67" customWidth="1"/>
    <col min="2308" max="2308" width="7.88671875" style="67" customWidth="1"/>
    <col min="2309" max="2309" width="8.77734375" style="67" customWidth="1"/>
    <col min="2310" max="2310" width="7.44140625" style="67" customWidth="1"/>
    <col min="2311" max="2311" width="7.88671875" style="67" customWidth="1"/>
    <col min="2312" max="2312" width="29.44140625" style="67" customWidth="1"/>
    <col min="2313" max="2313" width="15" style="67" bestFit="1" customWidth="1"/>
    <col min="2314" max="2560" width="8.77734375" style="67"/>
    <col min="2561" max="2561" width="2.21875" style="67" customWidth="1"/>
    <col min="2562" max="2562" width="7.21875" style="67" customWidth="1"/>
    <col min="2563" max="2563" width="7.109375" style="67" customWidth="1"/>
    <col min="2564" max="2564" width="7.88671875" style="67" customWidth="1"/>
    <col min="2565" max="2565" width="8.77734375" style="67" customWidth="1"/>
    <col min="2566" max="2566" width="7.44140625" style="67" customWidth="1"/>
    <col min="2567" max="2567" width="7.88671875" style="67" customWidth="1"/>
    <col min="2568" max="2568" width="29.44140625" style="67" customWidth="1"/>
    <col min="2569" max="2569" width="15" style="67" bestFit="1" customWidth="1"/>
    <col min="2570" max="2816" width="8.77734375" style="67"/>
    <col min="2817" max="2817" width="2.21875" style="67" customWidth="1"/>
    <col min="2818" max="2818" width="7.21875" style="67" customWidth="1"/>
    <col min="2819" max="2819" width="7.109375" style="67" customWidth="1"/>
    <col min="2820" max="2820" width="7.88671875" style="67" customWidth="1"/>
    <col min="2821" max="2821" width="8.77734375" style="67" customWidth="1"/>
    <col min="2822" max="2822" width="7.44140625" style="67" customWidth="1"/>
    <col min="2823" max="2823" width="7.88671875" style="67" customWidth="1"/>
    <col min="2824" max="2824" width="29.44140625" style="67" customWidth="1"/>
    <col min="2825" max="2825" width="15" style="67" bestFit="1" customWidth="1"/>
    <col min="2826" max="3072" width="8.77734375" style="67"/>
    <col min="3073" max="3073" width="2.21875" style="67" customWidth="1"/>
    <col min="3074" max="3074" width="7.21875" style="67" customWidth="1"/>
    <col min="3075" max="3075" width="7.109375" style="67" customWidth="1"/>
    <col min="3076" max="3076" width="7.88671875" style="67" customWidth="1"/>
    <col min="3077" max="3077" width="8.77734375" style="67" customWidth="1"/>
    <col min="3078" max="3078" width="7.44140625" style="67" customWidth="1"/>
    <col min="3079" max="3079" width="7.88671875" style="67" customWidth="1"/>
    <col min="3080" max="3080" width="29.44140625" style="67" customWidth="1"/>
    <col min="3081" max="3081" width="15" style="67" bestFit="1" customWidth="1"/>
    <col min="3082" max="3328" width="8.77734375" style="67"/>
    <col min="3329" max="3329" width="2.21875" style="67" customWidth="1"/>
    <col min="3330" max="3330" width="7.21875" style="67" customWidth="1"/>
    <col min="3331" max="3331" width="7.109375" style="67" customWidth="1"/>
    <col min="3332" max="3332" width="7.88671875" style="67" customWidth="1"/>
    <col min="3333" max="3333" width="8.77734375" style="67" customWidth="1"/>
    <col min="3334" max="3334" width="7.44140625" style="67" customWidth="1"/>
    <col min="3335" max="3335" width="7.88671875" style="67" customWidth="1"/>
    <col min="3336" max="3336" width="29.44140625" style="67" customWidth="1"/>
    <col min="3337" max="3337" width="15" style="67" bestFit="1" customWidth="1"/>
    <col min="3338" max="3584" width="8.77734375" style="67"/>
    <col min="3585" max="3585" width="2.21875" style="67" customWidth="1"/>
    <col min="3586" max="3586" width="7.21875" style="67" customWidth="1"/>
    <col min="3587" max="3587" width="7.109375" style="67" customWidth="1"/>
    <col min="3588" max="3588" width="7.88671875" style="67" customWidth="1"/>
    <col min="3589" max="3589" width="8.77734375" style="67" customWidth="1"/>
    <col min="3590" max="3590" width="7.44140625" style="67" customWidth="1"/>
    <col min="3591" max="3591" width="7.88671875" style="67" customWidth="1"/>
    <col min="3592" max="3592" width="29.44140625" style="67" customWidth="1"/>
    <col min="3593" max="3593" width="15" style="67" bestFit="1" customWidth="1"/>
    <col min="3594" max="3840" width="8.77734375" style="67"/>
    <col min="3841" max="3841" width="2.21875" style="67" customWidth="1"/>
    <col min="3842" max="3842" width="7.21875" style="67" customWidth="1"/>
    <col min="3843" max="3843" width="7.109375" style="67" customWidth="1"/>
    <col min="3844" max="3844" width="7.88671875" style="67" customWidth="1"/>
    <col min="3845" max="3845" width="8.77734375" style="67" customWidth="1"/>
    <col min="3846" max="3846" width="7.44140625" style="67" customWidth="1"/>
    <col min="3847" max="3847" width="7.88671875" style="67" customWidth="1"/>
    <col min="3848" max="3848" width="29.44140625" style="67" customWidth="1"/>
    <col min="3849" max="3849" width="15" style="67" bestFit="1" customWidth="1"/>
    <col min="3850" max="4096" width="8.77734375" style="67"/>
    <col min="4097" max="4097" width="2.21875" style="67" customWidth="1"/>
    <col min="4098" max="4098" width="7.21875" style="67" customWidth="1"/>
    <col min="4099" max="4099" width="7.109375" style="67" customWidth="1"/>
    <col min="4100" max="4100" width="7.88671875" style="67" customWidth="1"/>
    <col min="4101" max="4101" width="8.77734375" style="67" customWidth="1"/>
    <col min="4102" max="4102" width="7.44140625" style="67" customWidth="1"/>
    <col min="4103" max="4103" width="7.88671875" style="67" customWidth="1"/>
    <col min="4104" max="4104" width="29.44140625" style="67" customWidth="1"/>
    <col min="4105" max="4105" width="15" style="67" bestFit="1" customWidth="1"/>
    <col min="4106" max="4352" width="8.77734375" style="67"/>
    <col min="4353" max="4353" width="2.21875" style="67" customWidth="1"/>
    <col min="4354" max="4354" width="7.21875" style="67" customWidth="1"/>
    <col min="4355" max="4355" width="7.109375" style="67" customWidth="1"/>
    <col min="4356" max="4356" width="7.88671875" style="67" customWidth="1"/>
    <col min="4357" max="4357" width="8.77734375" style="67" customWidth="1"/>
    <col min="4358" max="4358" width="7.44140625" style="67" customWidth="1"/>
    <col min="4359" max="4359" width="7.88671875" style="67" customWidth="1"/>
    <col min="4360" max="4360" width="29.44140625" style="67" customWidth="1"/>
    <col min="4361" max="4361" width="15" style="67" bestFit="1" customWidth="1"/>
    <col min="4362" max="4608" width="8.77734375" style="67"/>
    <col min="4609" max="4609" width="2.21875" style="67" customWidth="1"/>
    <col min="4610" max="4610" width="7.21875" style="67" customWidth="1"/>
    <col min="4611" max="4611" width="7.109375" style="67" customWidth="1"/>
    <col min="4612" max="4612" width="7.88671875" style="67" customWidth="1"/>
    <col min="4613" max="4613" width="8.77734375" style="67" customWidth="1"/>
    <col min="4614" max="4614" width="7.44140625" style="67" customWidth="1"/>
    <col min="4615" max="4615" width="7.88671875" style="67" customWidth="1"/>
    <col min="4616" max="4616" width="29.44140625" style="67" customWidth="1"/>
    <col min="4617" max="4617" width="15" style="67" bestFit="1" customWidth="1"/>
    <col min="4618" max="4864" width="8.77734375" style="67"/>
    <col min="4865" max="4865" width="2.21875" style="67" customWidth="1"/>
    <col min="4866" max="4866" width="7.21875" style="67" customWidth="1"/>
    <col min="4867" max="4867" width="7.109375" style="67" customWidth="1"/>
    <col min="4868" max="4868" width="7.88671875" style="67" customWidth="1"/>
    <col min="4869" max="4869" width="8.77734375" style="67" customWidth="1"/>
    <col min="4870" max="4870" width="7.44140625" style="67" customWidth="1"/>
    <col min="4871" max="4871" width="7.88671875" style="67" customWidth="1"/>
    <col min="4872" max="4872" width="29.44140625" style="67" customWidth="1"/>
    <col min="4873" max="4873" width="15" style="67" bestFit="1" customWidth="1"/>
    <col min="4874" max="5120" width="8.77734375" style="67"/>
    <col min="5121" max="5121" width="2.21875" style="67" customWidth="1"/>
    <col min="5122" max="5122" width="7.21875" style="67" customWidth="1"/>
    <col min="5123" max="5123" width="7.109375" style="67" customWidth="1"/>
    <col min="5124" max="5124" width="7.88671875" style="67" customWidth="1"/>
    <col min="5125" max="5125" width="8.77734375" style="67" customWidth="1"/>
    <col min="5126" max="5126" width="7.44140625" style="67" customWidth="1"/>
    <col min="5127" max="5127" width="7.88671875" style="67" customWidth="1"/>
    <col min="5128" max="5128" width="29.44140625" style="67" customWidth="1"/>
    <col min="5129" max="5129" width="15" style="67" bestFit="1" customWidth="1"/>
    <col min="5130" max="5376" width="8.77734375" style="67"/>
    <col min="5377" max="5377" width="2.21875" style="67" customWidth="1"/>
    <col min="5378" max="5378" width="7.21875" style="67" customWidth="1"/>
    <col min="5379" max="5379" width="7.109375" style="67" customWidth="1"/>
    <col min="5380" max="5380" width="7.88671875" style="67" customWidth="1"/>
    <col min="5381" max="5381" width="8.77734375" style="67" customWidth="1"/>
    <col min="5382" max="5382" width="7.44140625" style="67" customWidth="1"/>
    <col min="5383" max="5383" width="7.88671875" style="67" customWidth="1"/>
    <col min="5384" max="5384" width="29.44140625" style="67" customWidth="1"/>
    <col min="5385" max="5385" width="15" style="67" bestFit="1" customWidth="1"/>
    <col min="5386" max="5632" width="8.77734375" style="67"/>
    <col min="5633" max="5633" width="2.21875" style="67" customWidth="1"/>
    <col min="5634" max="5634" width="7.21875" style="67" customWidth="1"/>
    <col min="5635" max="5635" width="7.109375" style="67" customWidth="1"/>
    <col min="5636" max="5636" width="7.88671875" style="67" customWidth="1"/>
    <col min="5637" max="5637" width="8.77734375" style="67" customWidth="1"/>
    <col min="5638" max="5638" width="7.44140625" style="67" customWidth="1"/>
    <col min="5639" max="5639" width="7.88671875" style="67" customWidth="1"/>
    <col min="5640" max="5640" width="29.44140625" style="67" customWidth="1"/>
    <col min="5641" max="5641" width="15" style="67" bestFit="1" customWidth="1"/>
    <col min="5642" max="5888" width="8.77734375" style="67"/>
    <col min="5889" max="5889" width="2.21875" style="67" customWidth="1"/>
    <col min="5890" max="5890" width="7.21875" style="67" customWidth="1"/>
    <col min="5891" max="5891" width="7.109375" style="67" customWidth="1"/>
    <col min="5892" max="5892" width="7.88671875" style="67" customWidth="1"/>
    <col min="5893" max="5893" width="8.77734375" style="67" customWidth="1"/>
    <col min="5894" max="5894" width="7.44140625" style="67" customWidth="1"/>
    <col min="5895" max="5895" width="7.88671875" style="67" customWidth="1"/>
    <col min="5896" max="5896" width="29.44140625" style="67" customWidth="1"/>
    <col min="5897" max="5897" width="15" style="67" bestFit="1" customWidth="1"/>
    <col min="5898" max="6144" width="8.77734375" style="67"/>
    <col min="6145" max="6145" width="2.21875" style="67" customWidth="1"/>
    <col min="6146" max="6146" width="7.21875" style="67" customWidth="1"/>
    <col min="6147" max="6147" width="7.109375" style="67" customWidth="1"/>
    <col min="6148" max="6148" width="7.88671875" style="67" customWidth="1"/>
    <col min="6149" max="6149" width="8.77734375" style="67" customWidth="1"/>
    <col min="6150" max="6150" width="7.44140625" style="67" customWidth="1"/>
    <col min="6151" max="6151" width="7.88671875" style="67" customWidth="1"/>
    <col min="6152" max="6152" width="29.44140625" style="67" customWidth="1"/>
    <col min="6153" max="6153" width="15" style="67" bestFit="1" customWidth="1"/>
    <col min="6154" max="6400" width="8.77734375" style="67"/>
    <col min="6401" max="6401" width="2.21875" style="67" customWidth="1"/>
    <col min="6402" max="6402" width="7.21875" style="67" customWidth="1"/>
    <col min="6403" max="6403" width="7.109375" style="67" customWidth="1"/>
    <col min="6404" max="6404" width="7.88671875" style="67" customWidth="1"/>
    <col min="6405" max="6405" width="8.77734375" style="67" customWidth="1"/>
    <col min="6406" max="6406" width="7.44140625" style="67" customWidth="1"/>
    <col min="6407" max="6407" width="7.88671875" style="67" customWidth="1"/>
    <col min="6408" max="6408" width="29.44140625" style="67" customWidth="1"/>
    <col min="6409" max="6409" width="15" style="67" bestFit="1" customWidth="1"/>
    <col min="6410" max="6656" width="8.77734375" style="67"/>
    <col min="6657" max="6657" width="2.21875" style="67" customWidth="1"/>
    <col min="6658" max="6658" width="7.21875" style="67" customWidth="1"/>
    <col min="6659" max="6659" width="7.109375" style="67" customWidth="1"/>
    <col min="6660" max="6660" width="7.88671875" style="67" customWidth="1"/>
    <col min="6661" max="6661" width="8.77734375" style="67" customWidth="1"/>
    <col min="6662" max="6662" width="7.44140625" style="67" customWidth="1"/>
    <col min="6663" max="6663" width="7.88671875" style="67" customWidth="1"/>
    <col min="6664" max="6664" width="29.44140625" style="67" customWidth="1"/>
    <col min="6665" max="6665" width="15" style="67" bestFit="1" customWidth="1"/>
    <col min="6666" max="6912" width="8.77734375" style="67"/>
    <col min="6913" max="6913" width="2.21875" style="67" customWidth="1"/>
    <col min="6914" max="6914" width="7.21875" style="67" customWidth="1"/>
    <col min="6915" max="6915" width="7.109375" style="67" customWidth="1"/>
    <col min="6916" max="6916" width="7.88671875" style="67" customWidth="1"/>
    <col min="6917" max="6917" width="8.77734375" style="67" customWidth="1"/>
    <col min="6918" max="6918" width="7.44140625" style="67" customWidth="1"/>
    <col min="6919" max="6919" width="7.88671875" style="67" customWidth="1"/>
    <col min="6920" max="6920" width="29.44140625" style="67" customWidth="1"/>
    <col min="6921" max="6921" width="15" style="67" bestFit="1" customWidth="1"/>
    <col min="6922" max="7168" width="8.77734375" style="67"/>
    <col min="7169" max="7169" width="2.21875" style="67" customWidth="1"/>
    <col min="7170" max="7170" width="7.21875" style="67" customWidth="1"/>
    <col min="7171" max="7171" width="7.109375" style="67" customWidth="1"/>
    <col min="7172" max="7172" width="7.88671875" style="67" customWidth="1"/>
    <col min="7173" max="7173" width="8.77734375" style="67" customWidth="1"/>
    <col min="7174" max="7174" width="7.44140625" style="67" customWidth="1"/>
    <col min="7175" max="7175" width="7.88671875" style="67" customWidth="1"/>
    <col min="7176" max="7176" width="29.44140625" style="67" customWidth="1"/>
    <col min="7177" max="7177" width="15" style="67" bestFit="1" customWidth="1"/>
    <col min="7178" max="7424" width="8.77734375" style="67"/>
    <col min="7425" max="7425" width="2.21875" style="67" customWidth="1"/>
    <col min="7426" max="7426" width="7.21875" style="67" customWidth="1"/>
    <col min="7427" max="7427" width="7.109375" style="67" customWidth="1"/>
    <col min="7428" max="7428" width="7.88671875" style="67" customWidth="1"/>
    <col min="7429" max="7429" width="8.77734375" style="67" customWidth="1"/>
    <col min="7430" max="7430" width="7.44140625" style="67" customWidth="1"/>
    <col min="7431" max="7431" width="7.88671875" style="67" customWidth="1"/>
    <col min="7432" max="7432" width="29.44140625" style="67" customWidth="1"/>
    <col min="7433" max="7433" width="15" style="67" bestFit="1" customWidth="1"/>
    <col min="7434" max="7680" width="8.77734375" style="67"/>
    <col min="7681" max="7681" width="2.21875" style="67" customWidth="1"/>
    <col min="7682" max="7682" width="7.21875" style="67" customWidth="1"/>
    <col min="7683" max="7683" width="7.109375" style="67" customWidth="1"/>
    <col min="7684" max="7684" width="7.88671875" style="67" customWidth="1"/>
    <col min="7685" max="7685" width="8.77734375" style="67" customWidth="1"/>
    <col min="7686" max="7686" width="7.44140625" style="67" customWidth="1"/>
    <col min="7687" max="7687" width="7.88671875" style="67" customWidth="1"/>
    <col min="7688" max="7688" width="29.44140625" style="67" customWidth="1"/>
    <col min="7689" max="7689" width="15" style="67" bestFit="1" customWidth="1"/>
    <col min="7690" max="7936" width="8.77734375" style="67"/>
    <col min="7937" max="7937" width="2.21875" style="67" customWidth="1"/>
    <col min="7938" max="7938" width="7.21875" style="67" customWidth="1"/>
    <col min="7939" max="7939" width="7.109375" style="67" customWidth="1"/>
    <col min="7940" max="7940" width="7.88671875" style="67" customWidth="1"/>
    <col min="7941" max="7941" width="8.77734375" style="67" customWidth="1"/>
    <col min="7942" max="7942" width="7.44140625" style="67" customWidth="1"/>
    <col min="7943" max="7943" width="7.88671875" style="67" customWidth="1"/>
    <col min="7944" max="7944" width="29.44140625" style="67" customWidth="1"/>
    <col min="7945" max="7945" width="15" style="67" bestFit="1" customWidth="1"/>
    <col min="7946" max="8192" width="8.77734375" style="67"/>
    <col min="8193" max="8193" width="2.21875" style="67" customWidth="1"/>
    <col min="8194" max="8194" width="7.21875" style="67" customWidth="1"/>
    <col min="8195" max="8195" width="7.109375" style="67" customWidth="1"/>
    <col min="8196" max="8196" width="7.88671875" style="67" customWidth="1"/>
    <col min="8197" max="8197" width="8.77734375" style="67" customWidth="1"/>
    <col min="8198" max="8198" width="7.44140625" style="67" customWidth="1"/>
    <col min="8199" max="8199" width="7.88671875" style="67" customWidth="1"/>
    <col min="8200" max="8200" width="29.44140625" style="67" customWidth="1"/>
    <col min="8201" max="8201" width="15" style="67" bestFit="1" customWidth="1"/>
    <col min="8202" max="8448" width="8.77734375" style="67"/>
    <col min="8449" max="8449" width="2.21875" style="67" customWidth="1"/>
    <col min="8450" max="8450" width="7.21875" style="67" customWidth="1"/>
    <col min="8451" max="8451" width="7.109375" style="67" customWidth="1"/>
    <col min="8452" max="8452" width="7.88671875" style="67" customWidth="1"/>
    <col min="8453" max="8453" width="8.77734375" style="67" customWidth="1"/>
    <col min="8454" max="8454" width="7.44140625" style="67" customWidth="1"/>
    <col min="8455" max="8455" width="7.88671875" style="67" customWidth="1"/>
    <col min="8456" max="8456" width="29.44140625" style="67" customWidth="1"/>
    <col min="8457" max="8457" width="15" style="67" bestFit="1" customWidth="1"/>
    <col min="8458" max="8704" width="8.77734375" style="67"/>
    <col min="8705" max="8705" width="2.21875" style="67" customWidth="1"/>
    <col min="8706" max="8706" width="7.21875" style="67" customWidth="1"/>
    <col min="8707" max="8707" width="7.109375" style="67" customWidth="1"/>
    <col min="8708" max="8708" width="7.88671875" style="67" customWidth="1"/>
    <col min="8709" max="8709" width="8.77734375" style="67" customWidth="1"/>
    <col min="8710" max="8710" width="7.44140625" style="67" customWidth="1"/>
    <col min="8711" max="8711" width="7.88671875" style="67" customWidth="1"/>
    <col min="8712" max="8712" width="29.44140625" style="67" customWidth="1"/>
    <col min="8713" max="8713" width="15" style="67" bestFit="1" customWidth="1"/>
    <col min="8714" max="8960" width="8.77734375" style="67"/>
    <col min="8961" max="8961" width="2.21875" style="67" customWidth="1"/>
    <col min="8962" max="8962" width="7.21875" style="67" customWidth="1"/>
    <col min="8963" max="8963" width="7.109375" style="67" customWidth="1"/>
    <col min="8964" max="8964" width="7.88671875" style="67" customWidth="1"/>
    <col min="8965" max="8965" width="8.77734375" style="67" customWidth="1"/>
    <col min="8966" max="8966" width="7.44140625" style="67" customWidth="1"/>
    <col min="8967" max="8967" width="7.88671875" style="67" customWidth="1"/>
    <col min="8968" max="8968" width="29.44140625" style="67" customWidth="1"/>
    <col min="8969" max="8969" width="15" style="67" bestFit="1" customWidth="1"/>
    <col min="8970" max="9216" width="8.77734375" style="67"/>
    <col min="9217" max="9217" width="2.21875" style="67" customWidth="1"/>
    <col min="9218" max="9218" width="7.21875" style="67" customWidth="1"/>
    <col min="9219" max="9219" width="7.109375" style="67" customWidth="1"/>
    <col min="9220" max="9220" width="7.88671875" style="67" customWidth="1"/>
    <col min="9221" max="9221" width="8.77734375" style="67" customWidth="1"/>
    <col min="9222" max="9222" width="7.44140625" style="67" customWidth="1"/>
    <col min="9223" max="9223" width="7.88671875" style="67" customWidth="1"/>
    <col min="9224" max="9224" width="29.44140625" style="67" customWidth="1"/>
    <col min="9225" max="9225" width="15" style="67" bestFit="1" customWidth="1"/>
    <col min="9226" max="9472" width="8.77734375" style="67"/>
    <col min="9473" max="9473" width="2.21875" style="67" customWidth="1"/>
    <col min="9474" max="9474" width="7.21875" style="67" customWidth="1"/>
    <col min="9475" max="9475" width="7.109375" style="67" customWidth="1"/>
    <col min="9476" max="9476" width="7.88671875" style="67" customWidth="1"/>
    <col min="9477" max="9477" width="8.77734375" style="67" customWidth="1"/>
    <col min="9478" max="9478" width="7.44140625" style="67" customWidth="1"/>
    <col min="9479" max="9479" width="7.88671875" style="67" customWidth="1"/>
    <col min="9480" max="9480" width="29.44140625" style="67" customWidth="1"/>
    <col min="9481" max="9481" width="15" style="67" bestFit="1" customWidth="1"/>
    <col min="9482" max="9728" width="8.77734375" style="67"/>
    <col min="9729" max="9729" width="2.21875" style="67" customWidth="1"/>
    <col min="9730" max="9730" width="7.21875" style="67" customWidth="1"/>
    <col min="9731" max="9731" width="7.109375" style="67" customWidth="1"/>
    <col min="9732" max="9732" width="7.88671875" style="67" customWidth="1"/>
    <col min="9733" max="9733" width="8.77734375" style="67" customWidth="1"/>
    <col min="9734" max="9734" width="7.44140625" style="67" customWidth="1"/>
    <col min="9735" max="9735" width="7.88671875" style="67" customWidth="1"/>
    <col min="9736" max="9736" width="29.44140625" style="67" customWidth="1"/>
    <col min="9737" max="9737" width="15" style="67" bestFit="1" customWidth="1"/>
    <col min="9738" max="9984" width="8.77734375" style="67"/>
    <col min="9985" max="9985" width="2.21875" style="67" customWidth="1"/>
    <col min="9986" max="9986" width="7.21875" style="67" customWidth="1"/>
    <col min="9987" max="9987" width="7.109375" style="67" customWidth="1"/>
    <col min="9988" max="9988" width="7.88671875" style="67" customWidth="1"/>
    <col min="9989" max="9989" width="8.77734375" style="67" customWidth="1"/>
    <col min="9990" max="9990" width="7.44140625" style="67" customWidth="1"/>
    <col min="9991" max="9991" width="7.88671875" style="67" customWidth="1"/>
    <col min="9992" max="9992" width="29.44140625" style="67" customWidth="1"/>
    <col min="9993" max="9993" width="15" style="67" bestFit="1" customWidth="1"/>
    <col min="9994" max="10240" width="8.77734375" style="67"/>
    <col min="10241" max="10241" width="2.21875" style="67" customWidth="1"/>
    <col min="10242" max="10242" width="7.21875" style="67" customWidth="1"/>
    <col min="10243" max="10243" width="7.109375" style="67" customWidth="1"/>
    <col min="10244" max="10244" width="7.88671875" style="67" customWidth="1"/>
    <col min="10245" max="10245" width="8.77734375" style="67" customWidth="1"/>
    <col min="10246" max="10246" width="7.44140625" style="67" customWidth="1"/>
    <col min="10247" max="10247" width="7.88671875" style="67" customWidth="1"/>
    <col min="10248" max="10248" width="29.44140625" style="67" customWidth="1"/>
    <col min="10249" max="10249" width="15" style="67" bestFit="1" customWidth="1"/>
    <col min="10250" max="10496" width="8.77734375" style="67"/>
    <col min="10497" max="10497" width="2.21875" style="67" customWidth="1"/>
    <col min="10498" max="10498" width="7.21875" style="67" customWidth="1"/>
    <col min="10499" max="10499" width="7.109375" style="67" customWidth="1"/>
    <col min="10500" max="10500" width="7.88671875" style="67" customWidth="1"/>
    <col min="10501" max="10501" width="8.77734375" style="67" customWidth="1"/>
    <col min="10502" max="10502" width="7.44140625" style="67" customWidth="1"/>
    <col min="10503" max="10503" width="7.88671875" style="67" customWidth="1"/>
    <col min="10504" max="10504" width="29.44140625" style="67" customWidth="1"/>
    <col min="10505" max="10505" width="15" style="67" bestFit="1" customWidth="1"/>
    <col min="10506" max="10752" width="8.77734375" style="67"/>
    <col min="10753" max="10753" width="2.21875" style="67" customWidth="1"/>
    <col min="10754" max="10754" width="7.21875" style="67" customWidth="1"/>
    <col min="10755" max="10755" width="7.109375" style="67" customWidth="1"/>
    <col min="10756" max="10756" width="7.88671875" style="67" customWidth="1"/>
    <col min="10757" max="10757" width="8.77734375" style="67" customWidth="1"/>
    <col min="10758" max="10758" width="7.44140625" style="67" customWidth="1"/>
    <col min="10759" max="10759" width="7.88671875" style="67" customWidth="1"/>
    <col min="10760" max="10760" width="29.44140625" style="67" customWidth="1"/>
    <col min="10761" max="10761" width="15" style="67" bestFit="1" customWidth="1"/>
    <col min="10762" max="11008" width="8.77734375" style="67"/>
    <col min="11009" max="11009" width="2.21875" style="67" customWidth="1"/>
    <col min="11010" max="11010" width="7.21875" style="67" customWidth="1"/>
    <col min="11011" max="11011" width="7.109375" style="67" customWidth="1"/>
    <col min="11012" max="11012" width="7.88671875" style="67" customWidth="1"/>
    <col min="11013" max="11013" width="8.77734375" style="67" customWidth="1"/>
    <col min="11014" max="11014" width="7.44140625" style="67" customWidth="1"/>
    <col min="11015" max="11015" width="7.88671875" style="67" customWidth="1"/>
    <col min="11016" max="11016" width="29.44140625" style="67" customWidth="1"/>
    <col min="11017" max="11017" width="15" style="67" bestFit="1" customWidth="1"/>
    <col min="11018" max="11264" width="8.77734375" style="67"/>
    <col min="11265" max="11265" width="2.21875" style="67" customWidth="1"/>
    <col min="11266" max="11266" width="7.21875" style="67" customWidth="1"/>
    <col min="11267" max="11267" width="7.109375" style="67" customWidth="1"/>
    <col min="11268" max="11268" width="7.88671875" style="67" customWidth="1"/>
    <col min="11269" max="11269" width="8.77734375" style="67" customWidth="1"/>
    <col min="11270" max="11270" width="7.44140625" style="67" customWidth="1"/>
    <col min="11271" max="11271" width="7.88671875" style="67" customWidth="1"/>
    <col min="11272" max="11272" width="29.44140625" style="67" customWidth="1"/>
    <col min="11273" max="11273" width="15" style="67" bestFit="1" customWidth="1"/>
    <col min="11274" max="11520" width="8.77734375" style="67"/>
    <col min="11521" max="11521" width="2.21875" style="67" customWidth="1"/>
    <col min="11522" max="11522" width="7.21875" style="67" customWidth="1"/>
    <col min="11523" max="11523" width="7.109375" style="67" customWidth="1"/>
    <col min="11524" max="11524" width="7.88671875" style="67" customWidth="1"/>
    <col min="11525" max="11525" width="8.77734375" style="67" customWidth="1"/>
    <col min="11526" max="11526" width="7.44140625" style="67" customWidth="1"/>
    <col min="11527" max="11527" width="7.88671875" style="67" customWidth="1"/>
    <col min="11528" max="11528" width="29.44140625" style="67" customWidth="1"/>
    <col min="11529" max="11529" width="15" style="67" bestFit="1" customWidth="1"/>
    <col min="11530" max="11776" width="8.77734375" style="67"/>
    <col min="11777" max="11777" width="2.21875" style="67" customWidth="1"/>
    <col min="11778" max="11778" width="7.21875" style="67" customWidth="1"/>
    <col min="11779" max="11779" width="7.109375" style="67" customWidth="1"/>
    <col min="11780" max="11780" width="7.88671875" style="67" customWidth="1"/>
    <col min="11781" max="11781" width="8.77734375" style="67" customWidth="1"/>
    <col min="11782" max="11782" width="7.44140625" style="67" customWidth="1"/>
    <col min="11783" max="11783" width="7.88671875" style="67" customWidth="1"/>
    <col min="11784" max="11784" width="29.44140625" style="67" customWidth="1"/>
    <col min="11785" max="11785" width="15" style="67" bestFit="1" customWidth="1"/>
    <col min="11786" max="12032" width="8.77734375" style="67"/>
    <col min="12033" max="12033" width="2.21875" style="67" customWidth="1"/>
    <col min="12034" max="12034" width="7.21875" style="67" customWidth="1"/>
    <col min="12035" max="12035" width="7.109375" style="67" customWidth="1"/>
    <col min="12036" max="12036" width="7.88671875" style="67" customWidth="1"/>
    <col min="12037" max="12037" width="8.77734375" style="67" customWidth="1"/>
    <col min="12038" max="12038" width="7.44140625" style="67" customWidth="1"/>
    <col min="12039" max="12039" width="7.88671875" style="67" customWidth="1"/>
    <col min="12040" max="12040" width="29.44140625" style="67" customWidth="1"/>
    <col min="12041" max="12041" width="15" style="67" bestFit="1" customWidth="1"/>
    <col min="12042" max="12288" width="8.77734375" style="67"/>
    <col min="12289" max="12289" width="2.21875" style="67" customWidth="1"/>
    <col min="12290" max="12290" width="7.21875" style="67" customWidth="1"/>
    <col min="12291" max="12291" width="7.109375" style="67" customWidth="1"/>
    <col min="12292" max="12292" width="7.88671875" style="67" customWidth="1"/>
    <col min="12293" max="12293" width="8.77734375" style="67" customWidth="1"/>
    <col min="12294" max="12294" width="7.44140625" style="67" customWidth="1"/>
    <col min="12295" max="12295" width="7.88671875" style="67" customWidth="1"/>
    <col min="12296" max="12296" width="29.44140625" style="67" customWidth="1"/>
    <col min="12297" max="12297" width="15" style="67" bestFit="1" customWidth="1"/>
    <col min="12298" max="12544" width="8.77734375" style="67"/>
    <col min="12545" max="12545" width="2.21875" style="67" customWidth="1"/>
    <col min="12546" max="12546" width="7.21875" style="67" customWidth="1"/>
    <col min="12547" max="12547" width="7.109375" style="67" customWidth="1"/>
    <col min="12548" max="12548" width="7.88671875" style="67" customWidth="1"/>
    <col min="12549" max="12549" width="8.77734375" style="67" customWidth="1"/>
    <col min="12550" max="12550" width="7.44140625" style="67" customWidth="1"/>
    <col min="12551" max="12551" width="7.88671875" style="67" customWidth="1"/>
    <col min="12552" max="12552" width="29.44140625" style="67" customWidth="1"/>
    <col min="12553" max="12553" width="15" style="67" bestFit="1" customWidth="1"/>
    <col min="12554" max="12800" width="8.77734375" style="67"/>
    <col min="12801" max="12801" width="2.21875" style="67" customWidth="1"/>
    <col min="12802" max="12802" width="7.21875" style="67" customWidth="1"/>
    <col min="12803" max="12803" width="7.109375" style="67" customWidth="1"/>
    <col min="12804" max="12804" width="7.88671875" style="67" customWidth="1"/>
    <col min="12805" max="12805" width="8.77734375" style="67" customWidth="1"/>
    <col min="12806" max="12806" width="7.44140625" style="67" customWidth="1"/>
    <col min="12807" max="12807" width="7.88671875" style="67" customWidth="1"/>
    <col min="12808" max="12808" width="29.44140625" style="67" customWidth="1"/>
    <col min="12809" max="12809" width="15" style="67" bestFit="1" customWidth="1"/>
    <col min="12810" max="13056" width="8.77734375" style="67"/>
    <col min="13057" max="13057" width="2.21875" style="67" customWidth="1"/>
    <col min="13058" max="13058" width="7.21875" style="67" customWidth="1"/>
    <col min="13059" max="13059" width="7.109375" style="67" customWidth="1"/>
    <col min="13060" max="13060" width="7.88671875" style="67" customWidth="1"/>
    <col min="13061" max="13061" width="8.77734375" style="67" customWidth="1"/>
    <col min="13062" max="13062" width="7.44140625" style="67" customWidth="1"/>
    <col min="13063" max="13063" width="7.88671875" style="67" customWidth="1"/>
    <col min="13064" max="13064" width="29.44140625" style="67" customWidth="1"/>
    <col min="13065" max="13065" width="15" style="67" bestFit="1" customWidth="1"/>
    <col min="13066" max="13312" width="8.77734375" style="67"/>
    <col min="13313" max="13313" width="2.21875" style="67" customWidth="1"/>
    <col min="13314" max="13314" width="7.21875" style="67" customWidth="1"/>
    <col min="13315" max="13315" width="7.109375" style="67" customWidth="1"/>
    <col min="13316" max="13316" width="7.88671875" style="67" customWidth="1"/>
    <col min="13317" max="13317" width="8.77734375" style="67" customWidth="1"/>
    <col min="13318" max="13318" width="7.44140625" style="67" customWidth="1"/>
    <col min="13319" max="13319" width="7.88671875" style="67" customWidth="1"/>
    <col min="13320" max="13320" width="29.44140625" style="67" customWidth="1"/>
    <col min="13321" max="13321" width="15" style="67" bestFit="1" customWidth="1"/>
    <col min="13322" max="13568" width="8.77734375" style="67"/>
    <col min="13569" max="13569" width="2.21875" style="67" customWidth="1"/>
    <col min="13570" max="13570" width="7.21875" style="67" customWidth="1"/>
    <col min="13571" max="13571" width="7.109375" style="67" customWidth="1"/>
    <col min="13572" max="13572" width="7.88671875" style="67" customWidth="1"/>
    <col min="13573" max="13573" width="8.77734375" style="67" customWidth="1"/>
    <col min="13574" max="13574" width="7.44140625" style="67" customWidth="1"/>
    <col min="13575" max="13575" width="7.88671875" style="67" customWidth="1"/>
    <col min="13576" max="13576" width="29.44140625" style="67" customWidth="1"/>
    <col min="13577" max="13577" width="15" style="67" bestFit="1" customWidth="1"/>
    <col min="13578" max="13824" width="8.77734375" style="67"/>
    <col min="13825" max="13825" width="2.21875" style="67" customWidth="1"/>
    <col min="13826" max="13826" width="7.21875" style="67" customWidth="1"/>
    <col min="13827" max="13827" width="7.109375" style="67" customWidth="1"/>
    <col min="13828" max="13828" width="7.88671875" style="67" customWidth="1"/>
    <col min="13829" max="13829" width="8.77734375" style="67" customWidth="1"/>
    <col min="13830" max="13830" width="7.44140625" style="67" customWidth="1"/>
    <col min="13831" max="13831" width="7.88671875" style="67" customWidth="1"/>
    <col min="13832" max="13832" width="29.44140625" style="67" customWidth="1"/>
    <col min="13833" max="13833" width="15" style="67" bestFit="1" customWidth="1"/>
    <col min="13834" max="14080" width="8.77734375" style="67"/>
    <col min="14081" max="14081" width="2.21875" style="67" customWidth="1"/>
    <col min="14082" max="14082" width="7.21875" style="67" customWidth="1"/>
    <col min="14083" max="14083" width="7.109375" style="67" customWidth="1"/>
    <col min="14084" max="14084" width="7.88671875" style="67" customWidth="1"/>
    <col min="14085" max="14085" width="8.77734375" style="67" customWidth="1"/>
    <col min="14086" max="14086" width="7.44140625" style="67" customWidth="1"/>
    <col min="14087" max="14087" width="7.88671875" style="67" customWidth="1"/>
    <col min="14088" max="14088" width="29.44140625" style="67" customWidth="1"/>
    <col min="14089" max="14089" width="15" style="67" bestFit="1" customWidth="1"/>
    <col min="14090" max="14336" width="8.77734375" style="67"/>
    <col min="14337" max="14337" width="2.21875" style="67" customWidth="1"/>
    <col min="14338" max="14338" width="7.21875" style="67" customWidth="1"/>
    <col min="14339" max="14339" width="7.109375" style="67" customWidth="1"/>
    <col min="14340" max="14340" width="7.88671875" style="67" customWidth="1"/>
    <col min="14341" max="14341" width="8.77734375" style="67" customWidth="1"/>
    <col min="14342" max="14342" width="7.44140625" style="67" customWidth="1"/>
    <col min="14343" max="14343" width="7.88671875" style="67" customWidth="1"/>
    <col min="14344" max="14344" width="29.44140625" style="67" customWidth="1"/>
    <col min="14345" max="14345" width="15" style="67" bestFit="1" customWidth="1"/>
    <col min="14346" max="14592" width="8.77734375" style="67"/>
    <col min="14593" max="14593" width="2.21875" style="67" customWidth="1"/>
    <col min="14594" max="14594" width="7.21875" style="67" customWidth="1"/>
    <col min="14595" max="14595" width="7.109375" style="67" customWidth="1"/>
    <col min="14596" max="14596" width="7.88671875" style="67" customWidth="1"/>
    <col min="14597" max="14597" width="8.77734375" style="67" customWidth="1"/>
    <col min="14598" max="14598" width="7.44140625" style="67" customWidth="1"/>
    <col min="14599" max="14599" width="7.88671875" style="67" customWidth="1"/>
    <col min="14600" max="14600" width="29.44140625" style="67" customWidth="1"/>
    <col min="14601" max="14601" width="15" style="67" bestFit="1" customWidth="1"/>
    <col min="14602" max="14848" width="8.77734375" style="67"/>
    <col min="14849" max="14849" width="2.21875" style="67" customWidth="1"/>
    <col min="14850" max="14850" width="7.21875" style="67" customWidth="1"/>
    <col min="14851" max="14851" width="7.109375" style="67" customWidth="1"/>
    <col min="14852" max="14852" width="7.88671875" style="67" customWidth="1"/>
    <col min="14853" max="14853" width="8.77734375" style="67" customWidth="1"/>
    <col min="14854" max="14854" width="7.44140625" style="67" customWidth="1"/>
    <col min="14855" max="14855" width="7.88671875" style="67" customWidth="1"/>
    <col min="14856" max="14856" width="29.44140625" style="67" customWidth="1"/>
    <col min="14857" max="14857" width="15" style="67" bestFit="1" customWidth="1"/>
    <col min="14858" max="15104" width="8.77734375" style="67"/>
    <col min="15105" max="15105" width="2.21875" style="67" customWidth="1"/>
    <col min="15106" max="15106" width="7.21875" style="67" customWidth="1"/>
    <col min="15107" max="15107" width="7.109375" style="67" customWidth="1"/>
    <col min="15108" max="15108" width="7.88671875" style="67" customWidth="1"/>
    <col min="15109" max="15109" width="8.77734375" style="67" customWidth="1"/>
    <col min="15110" max="15110" width="7.44140625" style="67" customWidth="1"/>
    <col min="15111" max="15111" width="7.88671875" style="67" customWidth="1"/>
    <col min="15112" max="15112" width="29.44140625" style="67" customWidth="1"/>
    <col min="15113" max="15113" width="15" style="67" bestFit="1" customWidth="1"/>
    <col min="15114" max="15360" width="8.77734375" style="67"/>
    <col min="15361" max="15361" width="2.21875" style="67" customWidth="1"/>
    <col min="15362" max="15362" width="7.21875" style="67" customWidth="1"/>
    <col min="15363" max="15363" width="7.109375" style="67" customWidth="1"/>
    <col min="15364" max="15364" width="7.88671875" style="67" customWidth="1"/>
    <col min="15365" max="15365" width="8.77734375" style="67" customWidth="1"/>
    <col min="15366" max="15366" width="7.44140625" style="67" customWidth="1"/>
    <col min="15367" max="15367" width="7.88671875" style="67" customWidth="1"/>
    <col min="15368" max="15368" width="29.44140625" style="67" customWidth="1"/>
    <col min="15369" max="15369" width="15" style="67" bestFit="1" customWidth="1"/>
    <col min="15370" max="15616" width="8.77734375" style="67"/>
    <col min="15617" max="15617" width="2.21875" style="67" customWidth="1"/>
    <col min="15618" max="15618" width="7.21875" style="67" customWidth="1"/>
    <col min="15619" max="15619" width="7.109375" style="67" customWidth="1"/>
    <col min="15620" max="15620" width="7.88671875" style="67" customWidth="1"/>
    <col min="15621" max="15621" width="8.77734375" style="67" customWidth="1"/>
    <col min="15622" max="15622" width="7.44140625" style="67" customWidth="1"/>
    <col min="15623" max="15623" width="7.88671875" style="67" customWidth="1"/>
    <col min="15624" max="15624" width="29.44140625" style="67" customWidth="1"/>
    <col min="15625" max="15625" width="15" style="67" bestFit="1" customWidth="1"/>
    <col min="15626" max="15872" width="8.77734375" style="67"/>
    <col min="15873" max="15873" width="2.21875" style="67" customWidth="1"/>
    <col min="15874" max="15874" width="7.21875" style="67" customWidth="1"/>
    <col min="15875" max="15875" width="7.109375" style="67" customWidth="1"/>
    <col min="15876" max="15876" width="7.88671875" style="67" customWidth="1"/>
    <col min="15877" max="15877" width="8.77734375" style="67" customWidth="1"/>
    <col min="15878" max="15878" width="7.44140625" style="67" customWidth="1"/>
    <col min="15879" max="15879" width="7.88671875" style="67" customWidth="1"/>
    <col min="15880" max="15880" width="29.44140625" style="67" customWidth="1"/>
    <col min="15881" max="15881" width="15" style="67" bestFit="1" customWidth="1"/>
    <col min="15882" max="16128" width="8.77734375" style="67"/>
    <col min="16129" max="16129" width="2.21875" style="67" customWidth="1"/>
    <col min="16130" max="16130" width="7.21875" style="67" customWidth="1"/>
    <col min="16131" max="16131" width="7.109375" style="67" customWidth="1"/>
    <col min="16132" max="16132" width="7.88671875" style="67" customWidth="1"/>
    <col min="16133" max="16133" width="8.77734375" style="67" customWidth="1"/>
    <col min="16134" max="16134" width="7.44140625" style="67" customWidth="1"/>
    <col min="16135" max="16135" width="7.88671875" style="67" customWidth="1"/>
    <col min="16136" max="16136" width="29.44140625" style="67" customWidth="1"/>
    <col min="16137" max="16137" width="15" style="67" bestFit="1" customWidth="1"/>
    <col min="16138" max="16384" width="8.77734375" style="67"/>
  </cols>
  <sheetData>
    <row r="1" spans="1:9" x14ac:dyDescent="0.25">
      <c r="A1" s="66" t="s">
        <v>144</v>
      </c>
      <c r="B1" s="66" t="s">
        <v>48</v>
      </c>
      <c r="C1" s="66" t="s">
        <v>145</v>
      </c>
      <c r="D1" s="66" t="s">
        <v>220</v>
      </c>
      <c r="E1" s="66" t="s">
        <v>221</v>
      </c>
      <c r="F1" s="66" t="s">
        <v>123</v>
      </c>
      <c r="G1" s="66" t="s">
        <v>124</v>
      </c>
      <c r="H1" s="132" t="s">
        <v>96</v>
      </c>
      <c r="I1" s="133" t="s">
        <v>125</v>
      </c>
    </row>
    <row r="2" spans="1:9" x14ac:dyDescent="0.25">
      <c r="A2" s="67" t="s">
        <v>146</v>
      </c>
      <c r="B2" s="68" t="s">
        <v>222</v>
      </c>
      <c r="C2" s="68" t="s">
        <v>49</v>
      </c>
      <c r="D2" s="68" t="s">
        <v>207</v>
      </c>
      <c r="E2" s="68" t="s">
        <v>183</v>
      </c>
      <c r="F2" s="68" t="s">
        <v>55</v>
      </c>
      <c r="G2" s="68" t="s">
        <v>66</v>
      </c>
      <c r="H2" s="127" t="s">
        <v>143</v>
      </c>
      <c r="I2" s="128">
        <v>5700000</v>
      </c>
    </row>
    <row r="3" spans="1:9" x14ac:dyDescent="0.25">
      <c r="A3" s="67" t="s">
        <v>147</v>
      </c>
      <c r="B3" s="68" t="s">
        <v>222</v>
      </c>
      <c r="C3" s="68" t="s">
        <v>49</v>
      </c>
      <c r="D3" s="68" t="s">
        <v>83</v>
      </c>
      <c r="E3" s="68" t="s">
        <v>84</v>
      </c>
      <c r="F3" s="68" t="s">
        <v>55</v>
      </c>
      <c r="G3" s="68" t="s">
        <v>186</v>
      </c>
      <c r="H3" s="127" t="s">
        <v>190</v>
      </c>
      <c r="I3" s="128">
        <v>200000000</v>
      </c>
    </row>
    <row r="4" spans="1:9" ht="31.5" x14ac:dyDescent="0.25">
      <c r="A4" s="67" t="s">
        <v>151</v>
      </c>
      <c r="B4" s="68" t="s">
        <v>222</v>
      </c>
      <c r="C4" s="68" t="s">
        <v>49</v>
      </c>
      <c r="D4" s="68" t="s">
        <v>86</v>
      </c>
      <c r="E4" s="68" t="s">
        <v>84</v>
      </c>
      <c r="F4" s="68" t="s">
        <v>55</v>
      </c>
      <c r="G4" s="68" t="s">
        <v>106</v>
      </c>
      <c r="H4" s="127" t="s">
        <v>142</v>
      </c>
      <c r="I4" s="128">
        <v>104935511</v>
      </c>
    </row>
    <row r="5" spans="1:9" x14ac:dyDescent="0.25">
      <c r="A5" s="67" t="s">
        <v>149</v>
      </c>
      <c r="B5" s="68" t="s">
        <v>222</v>
      </c>
      <c r="C5" s="68" t="s">
        <v>49</v>
      </c>
      <c r="D5" s="68" t="s">
        <v>74</v>
      </c>
      <c r="E5" s="68" t="s">
        <v>70</v>
      </c>
      <c r="F5" s="68" t="s">
        <v>55</v>
      </c>
      <c r="G5" s="68" t="s">
        <v>106</v>
      </c>
      <c r="H5" s="127" t="s">
        <v>211</v>
      </c>
      <c r="I5" s="128">
        <v>1571500</v>
      </c>
    </row>
    <row r="6" spans="1:9" x14ac:dyDescent="0.25">
      <c r="A6" s="67" t="s">
        <v>150</v>
      </c>
      <c r="B6" s="68" t="s">
        <v>222</v>
      </c>
      <c r="C6" s="68" t="s">
        <v>49</v>
      </c>
      <c r="D6" s="68" t="s">
        <v>91</v>
      </c>
      <c r="E6" s="68" t="s">
        <v>64</v>
      </c>
      <c r="F6" s="68" t="s">
        <v>55</v>
      </c>
      <c r="G6" s="68" t="s">
        <v>56</v>
      </c>
      <c r="H6" s="127" t="s">
        <v>235</v>
      </c>
      <c r="I6" s="128">
        <v>105000000</v>
      </c>
    </row>
    <row r="7" spans="1:9" ht="31.5" x14ac:dyDescent="0.25">
      <c r="A7" s="67" t="s">
        <v>152</v>
      </c>
      <c r="B7" s="68" t="s">
        <v>222</v>
      </c>
      <c r="C7" s="68" t="s">
        <v>49</v>
      </c>
      <c r="D7" s="68" t="s">
        <v>88</v>
      </c>
      <c r="E7" s="68" t="s">
        <v>61</v>
      </c>
      <c r="F7" s="68" t="s">
        <v>55</v>
      </c>
      <c r="G7" s="68" t="s">
        <v>80</v>
      </c>
      <c r="H7" s="127" t="s">
        <v>232</v>
      </c>
      <c r="I7" s="128">
        <v>674715648</v>
      </c>
    </row>
    <row r="8" spans="1:9" ht="47.25" x14ac:dyDescent="0.25">
      <c r="A8" s="67" t="s">
        <v>153</v>
      </c>
      <c r="B8" s="68" t="s">
        <v>222</v>
      </c>
      <c r="C8" s="68" t="s">
        <v>49</v>
      </c>
      <c r="D8" s="68" t="s">
        <v>89</v>
      </c>
      <c r="E8" s="68" t="s">
        <v>70</v>
      </c>
      <c r="F8" s="68" t="s">
        <v>55</v>
      </c>
      <c r="G8" s="68" t="s">
        <v>71</v>
      </c>
      <c r="H8" s="127" t="s">
        <v>233</v>
      </c>
      <c r="I8" s="128">
        <v>1048554</v>
      </c>
    </row>
    <row r="9" spans="1:9" ht="31.5" x14ac:dyDescent="0.25">
      <c r="A9" s="67" t="s">
        <v>154</v>
      </c>
      <c r="B9" s="68" t="s">
        <v>222</v>
      </c>
      <c r="C9" s="68" t="s">
        <v>49</v>
      </c>
      <c r="D9" s="68" t="s">
        <v>236</v>
      </c>
      <c r="E9" s="68" t="s">
        <v>64</v>
      </c>
      <c r="F9" s="68" t="s">
        <v>55</v>
      </c>
      <c r="G9" s="68" t="s">
        <v>69</v>
      </c>
      <c r="H9" s="127" t="s">
        <v>237</v>
      </c>
      <c r="I9" s="128">
        <v>195934870</v>
      </c>
    </row>
    <row r="10" spans="1:9" x14ac:dyDescent="0.25">
      <c r="A10" s="67" t="s">
        <v>155</v>
      </c>
      <c r="B10" s="68" t="s">
        <v>222</v>
      </c>
      <c r="C10" s="68" t="s">
        <v>49</v>
      </c>
      <c r="D10" s="68" t="s">
        <v>206</v>
      </c>
      <c r="E10" s="68" t="s">
        <v>70</v>
      </c>
      <c r="F10" s="68" t="s">
        <v>55</v>
      </c>
      <c r="G10" s="68" t="s">
        <v>71</v>
      </c>
      <c r="H10" s="127" t="s">
        <v>141</v>
      </c>
      <c r="I10" s="128">
        <v>15000000</v>
      </c>
    </row>
    <row r="11" spans="1:9" ht="47.25" x14ac:dyDescent="0.25">
      <c r="A11" s="67" t="s">
        <v>156</v>
      </c>
      <c r="B11" s="68" t="s">
        <v>222</v>
      </c>
      <c r="C11" s="68" t="s">
        <v>49</v>
      </c>
      <c r="D11" s="68" t="s">
        <v>63</v>
      </c>
      <c r="E11" s="68" t="s">
        <v>65</v>
      </c>
      <c r="F11" s="68" t="s">
        <v>55</v>
      </c>
      <c r="G11" s="68" t="s">
        <v>66</v>
      </c>
      <c r="H11" s="127" t="s">
        <v>227</v>
      </c>
      <c r="I11" s="128">
        <v>1050000</v>
      </c>
    </row>
    <row r="12" spans="1:9" ht="31.5" x14ac:dyDescent="0.25">
      <c r="A12" s="67" t="s">
        <v>157</v>
      </c>
      <c r="B12" s="68" t="s">
        <v>222</v>
      </c>
      <c r="C12" s="68" t="s">
        <v>49</v>
      </c>
      <c r="D12" s="68" t="s">
        <v>77</v>
      </c>
      <c r="E12" s="68" t="s">
        <v>70</v>
      </c>
      <c r="F12" s="68" t="s">
        <v>55</v>
      </c>
      <c r="G12" s="68" t="s">
        <v>56</v>
      </c>
      <c r="H12" s="127" t="s">
        <v>78</v>
      </c>
      <c r="I12" s="128">
        <v>17225000</v>
      </c>
    </row>
    <row r="13" spans="1:9" ht="47.25" x14ac:dyDescent="0.25">
      <c r="A13" s="67" t="s">
        <v>158</v>
      </c>
      <c r="B13" s="68" t="s">
        <v>222</v>
      </c>
      <c r="C13" s="68" t="s">
        <v>49</v>
      </c>
      <c r="D13" s="68" t="s">
        <v>79</v>
      </c>
      <c r="E13" s="68" t="s">
        <v>61</v>
      </c>
      <c r="F13" s="68" t="s">
        <v>55</v>
      </c>
      <c r="G13" s="68" t="s">
        <v>80</v>
      </c>
      <c r="H13" s="127" t="s">
        <v>81</v>
      </c>
      <c r="I13" s="128">
        <v>52377000</v>
      </c>
    </row>
    <row r="14" spans="1:9" ht="31.5" x14ac:dyDescent="0.25">
      <c r="A14" s="67" t="s">
        <v>159</v>
      </c>
      <c r="B14" s="68" t="s">
        <v>222</v>
      </c>
      <c r="C14" s="68" t="s">
        <v>49</v>
      </c>
      <c r="D14" s="68" t="s">
        <v>91</v>
      </c>
      <c r="E14" s="68" t="s">
        <v>64</v>
      </c>
      <c r="F14" s="68" t="s">
        <v>55</v>
      </c>
      <c r="G14" s="68" t="s">
        <v>69</v>
      </c>
      <c r="H14" s="127" t="s">
        <v>234</v>
      </c>
      <c r="I14" s="128">
        <v>5000000</v>
      </c>
    </row>
    <row r="15" spans="1:9" ht="47.25" x14ac:dyDescent="0.25">
      <c r="A15" s="67" t="s">
        <v>160</v>
      </c>
      <c r="B15" s="68" t="s">
        <v>222</v>
      </c>
      <c r="C15" s="68" t="s">
        <v>49</v>
      </c>
      <c r="D15" s="68" t="s">
        <v>63</v>
      </c>
      <c r="E15" s="68" t="s">
        <v>65</v>
      </c>
      <c r="F15" s="68" t="s">
        <v>55</v>
      </c>
      <c r="G15" s="68" t="s">
        <v>56</v>
      </c>
      <c r="H15" s="127" t="s">
        <v>67</v>
      </c>
      <c r="I15" s="128">
        <v>15000000</v>
      </c>
    </row>
    <row r="16" spans="1:9" ht="31.5" x14ac:dyDescent="0.25">
      <c r="A16" s="67" t="s">
        <v>161</v>
      </c>
      <c r="B16" s="68" t="s">
        <v>222</v>
      </c>
      <c r="C16" s="68" t="s">
        <v>49</v>
      </c>
      <c r="D16" s="68" t="s">
        <v>75</v>
      </c>
      <c r="E16" s="68" t="s">
        <v>64</v>
      </c>
      <c r="F16" s="68" t="s">
        <v>55</v>
      </c>
      <c r="G16" s="68" t="s">
        <v>56</v>
      </c>
      <c r="H16" s="127" t="s">
        <v>76</v>
      </c>
      <c r="I16" s="128">
        <v>5000000</v>
      </c>
    </row>
    <row r="17" spans="1:9" ht="47.25" x14ac:dyDescent="0.25">
      <c r="A17" s="67" t="s">
        <v>162</v>
      </c>
      <c r="B17" s="68" t="s">
        <v>222</v>
      </c>
      <c r="C17" s="68" t="s">
        <v>49</v>
      </c>
      <c r="D17" s="68" t="s">
        <v>68</v>
      </c>
      <c r="E17" s="68" t="s">
        <v>61</v>
      </c>
      <c r="F17" s="68" t="s">
        <v>55</v>
      </c>
      <c r="G17" s="68" t="s">
        <v>69</v>
      </c>
      <c r="H17" s="127" t="s">
        <v>229</v>
      </c>
      <c r="I17" s="128">
        <v>-13929</v>
      </c>
    </row>
    <row r="18" spans="1:9" ht="47.25" x14ac:dyDescent="0.25">
      <c r="A18" s="67" t="s">
        <v>163</v>
      </c>
      <c r="B18" s="68" t="s">
        <v>222</v>
      </c>
      <c r="C18" s="68" t="s">
        <v>49</v>
      </c>
      <c r="D18" s="68" t="s">
        <v>63</v>
      </c>
      <c r="E18" s="68" t="s">
        <v>64</v>
      </c>
      <c r="F18" s="68" t="s">
        <v>55</v>
      </c>
      <c r="G18" s="68" t="s">
        <v>56</v>
      </c>
      <c r="H18" s="127" t="s">
        <v>225</v>
      </c>
      <c r="I18" s="128">
        <v>57535000</v>
      </c>
    </row>
    <row r="19" spans="1:9" ht="31.5" x14ac:dyDescent="0.25">
      <c r="A19" s="67" t="s">
        <v>164</v>
      </c>
      <c r="B19" s="68" t="s">
        <v>222</v>
      </c>
      <c r="C19" s="68" t="s">
        <v>49</v>
      </c>
      <c r="D19" s="68" t="s">
        <v>79</v>
      </c>
      <c r="E19" s="68" t="s">
        <v>61</v>
      </c>
      <c r="F19" s="68" t="s">
        <v>55</v>
      </c>
      <c r="G19" s="68" t="s">
        <v>82</v>
      </c>
      <c r="H19" s="127" t="s">
        <v>23</v>
      </c>
      <c r="I19" s="128">
        <v>331080863</v>
      </c>
    </row>
    <row r="20" spans="1:9" ht="31.5" x14ac:dyDescent="0.25">
      <c r="A20" s="67" t="s">
        <v>165</v>
      </c>
      <c r="B20" s="68" t="s">
        <v>222</v>
      </c>
      <c r="C20" s="68" t="s">
        <v>49</v>
      </c>
      <c r="D20" s="68" t="s">
        <v>88</v>
      </c>
      <c r="E20" s="68" t="s">
        <v>61</v>
      </c>
      <c r="F20" s="68" t="s">
        <v>55</v>
      </c>
      <c r="G20" s="68" t="s">
        <v>137</v>
      </c>
      <c r="H20" s="127" t="s">
        <v>231</v>
      </c>
      <c r="I20" s="128">
        <v>-79049950</v>
      </c>
    </row>
    <row r="21" spans="1:9" ht="31.5" x14ac:dyDescent="0.25">
      <c r="A21" s="67" t="s">
        <v>166</v>
      </c>
      <c r="B21" s="68" t="s">
        <v>222</v>
      </c>
      <c r="C21" s="68" t="s">
        <v>49</v>
      </c>
      <c r="D21" s="68" t="s">
        <v>53</v>
      </c>
      <c r="E21" s="68" t="s">
        <v>54</v>
      </c>
      <c r="F21" s="68" t="s">
        <v>55</v>
      </c>
      <c r="G21" s="68" t="s">
        <v>56</v>
      </c>
      <c r="H21" s="127" t="s">
        <v>22</v>
      </c>
      <c r="I21" s="128">
        <v>34000000</v>
      </c>
    </row>
    <row r="22" spans="1:9" x14ac:dyDescent="0.25">
      <c r="A22" s="67" t="s">
        <v>167</v>
      </c>
      <c r="B22" s="68" t="s">
        <v>222</v>
      </c>
      <c r="C22" s="68" t="s">
        <v>49</v>
      </c>
      <c r="D22" s="68" t="s">
        <v>213</v>
      </c>
      <c r="E22" s="68" t="s">
        <v>183</v>
      </c>
      <c r="F22" s="68" t="s">
        <v>55</v>
      </c>
      <c r="G22" s="68" t="s">
        <v>69</v>
      </c>
      <c r="H22" s="127" t="s">
        <v>224</v>
      </c>
      <c r="I22" s="128">
        <v>47300000</v>
      </c>
    </row>
    <row r="23" spans="1:9" ht="31.5" x14ac:dyDescent="0.25">
      <c r="A23" s="67" t="s">
        <v>168</v>
      </c>
      <c r="B23" s="68" t="s">
        <v>222</v>
      </c>
      <c r="C23" s="68" t="s">
        <v>49</v>
      </c>
      <c r="D23" s="68" t="s">
        <v>57</v>
      </c>
      <c r="E23" s="68" t="s">
        <v>54</v>
      </c>
      <c r="F23" s="68" t="s">
        <v>55</v>
      </c>
      <c r="G23" s="68" t="s">
        <v>58</v>
      </c>
      <c r="H23" s="127" t="s">
        <v>59</v>
      </c>
      <c r="I23" s="128">
        <v>5000000</v>
      </c>
    </row>
    <row r="24" spans="1:9" ht="47.25" x14ac:dyDescent="0.25">
      <c r="A24" s="67" t="s">
        <v>169</v>
      </c>
      <c r="B24" s="68" t="s">
        <v>222</v>
      </c>
      <c r="C24" s="68" t="s">
        <v>49</v>
      </c>
      <c r="D24" s="68" t="s">
        <v>72</v>
      </c>
      <c r="E24" s="68" t="s">
        <v>70</v>
      </c>
      <c r="F24" s="68" t="s">
        <v>55</v>
      </c>
      <c r="G24" s="68" t="s">
        <v>66</v>
      </c>
      <c r="H24" s="127" t="s">
        <v>73</v>
      </c>
      <c r="I24" s="128">
        <v>6500000</v>
      </c>
    </row>
    <row r="25" spans="1:9" ht="31.5" x14ac:dyDescent="0.25">
      <c r="A25" s="67" t="s">
        <v>170</v>
      </c>
      <c r="B25" s="68" t="s">
        <v>222</v>
      </c>
      <c r="C25" s="68" t="s">
        <v>49</v>
      </c>
      <c r="D25" s="68" t="s">
        <v>86</v>
      </c>
      <c r="E25" s="68" t="s">
        <v>64</v>
      </c>
      <c r="F25" s="68" t="s">
        <v>55</v>
      </c>
      <c r="G25" s="68" t="s">
        <v>71</v>
      </c>
      <c r="H25" s="127" t="s">
        <v>131</v>
      </c>
      <c r="I25" s="128">
        <v>5000000</v>
      </c>
    </row>
    <row r="26" spans="1:9" ht="31.5" x14ac:dyDescent="0.25">
      <c r="A26" s="67" t="s">
        <v>171</v>
      </c>
      <c r="B26" s="68" t="s">
        <v>222</v>
      </c>
      <c r="C26" s="68" t="s">
        <v>49</v>
      </c>
      <c r="D26" s="68" t="s">
        <v>86</v>
      </c>
      <c r="E26" s="68" t="s">
        <v>84</v>
      </c>
      <c r="F26" s="68" t="s">
        <v>55</v>
      </c>
      <c r="G26" s="68" t="s">
        <v>82</v>
      </c>
      <c r="H26" s="127" t="s">
        <v>132</v>
      </c>
      <c r="I26" s="128">
        <v>76800000</v>
      </c>
    </row>
    <row r="27" spans="1:9" ht="31.5" x14ac:dyDescent="0.25">
      <c r="A27" s="67" t="s">
        <v>172</v>
      </c>
      <c r="B27" s="68" t="s">
        <v>222</v>
      </c>
      <c r="C27" s="68" t="s">
        <v>49</v>
      </c>
      <c r="D27" s="68" t="s">
        <v>92</v>
      </c>
      <c r="E27" s="68" t="s">
        <v>70</v>
      </c>
      <c r="F27" s="68" t="s">
        <v>55</v>
      </c>
      <c r="G27" s="68" t="s">
        <v>56</v>
      </c>
      <c r="H27" s="127" t="s">
        <v>93</v>
      </c>
      <c r="I27" s="128">
        <v>12045000</v>
      </c>
    </row>
    <row r="28" spans="1:9" ht="47.25" x14ac:dyDescent="0.25">
      <c r="A28" s="67" t="s">
        <v>173</v>
      </c>
      <c r="B28" s="68" t="s">
        <v>222</v>
      </c>
      <c r="C28" s="68" t="s">
        <v>49</v>
      </c>
      <c r="D28" s="68" t="s">
        <v>63</v>
      </c>
      <c r="E28" s="68" t="s">
        <v>54</v>
      </c>
      <c r="F28" s="68" t="s">
        <v>55</v>
      </c>
      <c r="G28" s="68" t="s">
        <v>56</v>
      </c>
      <c r="H28" s="127" t="s">
        <v>140</v>
      </c>
      <c r="I28" s="128">
        <v>26000000</v>
      </c>
    </row>
    <row r="29" spans="1:9" ht="31.5" x14ac:dyDescent="0.25">
      <c r="A29" s="67" t="s">
        <v>174</v>
      </c>
      <c r="B29" s="68" t="s">
        <v>222</v>
      </c>
      <c r="C29" s="68" t="s">
        <v>49</v>
      </c>
      <c r="D29" s="68" t="s">
        <v>68</v>
      </c>
      <c r="E29" s="68" t="s">
        <v>61</v>
      </c>
      <c r="F29" s="68" t="s">
        <v>55</v>
      </c>
      <c r="G29" s="68" t="s">
        <v>71</v>
      </c>
      <c r="H29" s="127" t="s">
        <v>228</v>
      </c>
      <c r="I29" s="128">
        <v>19000000</v>
      </c>
    </row>
    <row r="30" spans="1:9" x14ac:dyDescent="0.25">
      <c r="A30" s="67" t="s">
        <v>175</v>
      </c>
      <c r="B30" s="68" t="s">
        <v>222</v>
      </c>
      <c r="C30" s="68" t="s">
        <v>49</v>
      </c>
      <c r="D30" s="68" t="s">
        <v>213</v>
      </c>
      <c r="E30" s="68" t="s">
        <v>183</v>
      </c>
      <c r="F30" s="68" t="s">
        <v>55</v>
      </c>
      <c r="G30" s="68" t="s">
        <v>71</v>
      </c>
      <c r="H30" s="127" t="s">
        <v>223</v>
      </c>
      <c r="I30" s="128">
        <v>6000000</v>
      </c>
    </row>
    <row r="31" spans="1:9" ht="31.5" x14ac:dyDescent="0.25">
      <c r="A31" s="67" t="s">
        <v>210</v>
      </c>
      <c r="B31" s="68" t="s">
        <v>222</v>
      </c>
      <c r="C31" s="68" t="s">
        <v>49</v>
      </c>
      <c r="D31" s="68" t="s">
        <v>100</v>
      </c>
      <c r="E31" s="68" t="s">
        <v>61</v>
      </c>
      <c r="F31" s="68" t="s">
        <v>55</v>
      </c>
      <c r="G31" s="68" t="s">
        <v>56</v>
      </c>
      <c r="H31" s="127" t="s">
        <v>128</v>
      </c>
      <c r="I31" s="128">
        <v>490000</v>
      </c>
    </row>
    <row r="32" spans="1:9" ht="47.25" x14ac:dyDescent="0.25">
      <c r="A32" s="67" t="s">
        <v>176</v>
      </c>
      <c r="B32" s="68" t="s">
        <v>222</v>
      </c>
      <c r="C32" s="68" t="s">
        <v>49</v>
      </c>
      <c r="D32" s="68" t="s">
        <v>63</v>
      </c>
      <c r="E32" s="68" t="s">
        <v>61</v>
      </c>
      <c r="F32" s="68" t="s">
        <v>55</v>
      </c>
      <c r="G32" s="68" t="s">
        <v>56</v>
      </c>
      <c r="H32" s="127" t="s">
        <v>226</v>
      </c>
      <c r="I32" s="128">
        <v>3167000</v>
      </c>
    </row>
    <row r="33" spans="1:9" ht="31.5" x14ac:dyDescent="0.25">
      <c r="A33" s="67" t="s">
        <v>177</v>
      </c>
      <c r="B33" s="68" t="s">
        <v>222</v>
      </c>
      <c r="C33" s="68" t="s">
        <v>49</v>
      </c>
      <c r="D33" s="68" t="s">
        <v>86</v>
      </c>
      <c r="E33" s="68" t="s">
        <v>64</v>
      </c>
      <c r="F33" s="68" t="s">
        <v>55</v>
      </c>
      <c r="G33" s="68" t="s">
        <v>58</v>
      </c>
      <c r="H33" s="127" t="s">
        <v>212</v>
      </c>
      <c r="I33" s="128">
        <v>1000000000</v>
      </c>
    </row>
    <row r="34" spans="1:9" ht="31.5" x14ac:dyDescent="0.25">
      <c r="A34" s="67" t="s">
        <v>178</v>
      </c>
      <c r="B34" s="68" t="s">
        <v>222</v>
      </c>
      <c r="C34" s="68" t="s">
        <v>49</v>
      </c>
      <c r="D34" s="68" t="s">
        <v>83</v>
      </c>
      <c r="E34" s="68" t="s">
        <v>84</v>
      </c>
      <c r="F34" s="68" t="s">
        <v>55</v>
      </c>
      <c r="G34" s="68" t="s">
        <v>82</v>
      </c>
      <c r="H34" s="127" t="s">
        <v>85</v>
      </c>
      <c r="I34" s="128">
        <v>4500000</v>
      </c>
    </row>
    <row r="35" spans="1:9" x14ac:dyDescent="0.25">
      <c r="A35" s="67" t="s">
        <v>148</v>
      </c>
      <c r="B35" s="68" t="s">
        <v>222</v>
      </c>
      <c r="C35" s="68" t="s">
        <v>49</v>
      </c>
      <c r="D35" s="68" t="s">
        <v>206</v>
      </c>
      <c r="E35" s="68" t="s">
        <v>70</v>
      </c>
      <c r="F35" s="68" t="s">
        <v>55</v>
      </c>
      <c r="G35" s="68" t="s">
        <v>80</v>
      </c>
      <c r="H35" s="127" t="s">
        <v>189</v>
      </c>
      <c r="I35" s="128">
        <v>10000000</v>
      </c>
    </row>
    <row r="36" spans="1:9" ht="31.5" x14ac:dyDescent="0.25">
      <c r="A36" s="67" t="s">
        <v>209</v>
      </c>
      <c r="B36" s="68" t="s">
        <v>222</v>
      </c>
      <c r="C36" s="68" t="s">
        <v>49</v>
      </c>
      <c r="D36" s="68" t="s">
        <v>60</v>
      </c>
      <c r="E36" s="68" t="s">
        <v>61</v>
      </c>
      <c r="F36" s="68" t="s">
        <v>55</v>
      </c>
      <c r="G36" s="68" t="s">
        <v>56</v>
      </c>
      <c r="H36" s="127" t="s">
        <v>62</v>
      </c>
      <c r="I36" s="128">
        <v>221195996</v>
      </c>
    </row>
    <row r="37" spans="1:9" ht="31.5" x14ac:dyDescent="0.25">
      <c r="A37" s="67" t="s">
        <v>179</v>
      </c>
      <c r="B37" s="68" t="s">
        <v>222</v>
      </c>
      <c r="C37" s="68" t="s">
        <v>49</v>
      </c>
      <c r="D37" s="68" t="s">
        <v>79</v>
      </c>
      <c r="E37" s="68" t="s">
        <v>61</v>
      </c>
      <c r="F37" s="68" t="s">
        <v>55</v>
      </c>
      <c r="G37" s="68" t="s">
        <v>186</v>
      </c>
      <c r="H37" s="127" t="s">
        <v>230</v>
      </c>
      <c r="I37" s="128">
        <v>47043000</v>
      </c>
    </row>
    <row r="38" spans="1:9" ht="31.5" x14ac:dyDescent="0.25">
      <c r="A38" s="67" t="s">
        <v>180</v>
      </c>
      <c r="B38" s="68" t="s">
        <v>222</v>
      </c>
      <c r="C38" s="68" t="s">
        <v>49</v>
      </c>
      <c r="D38" s="68" t="s">
        <v>89</v>
      </c>
      <c r="E38" s="68" t="s">
        <v>70</v>
      </c>
      <c r="F38" s="68" t="s">
        <v>55</v>
      </c>
      <c r="G38" s="68" t="s">
        <v>56</v>
      </c>
      <c r="H38" s="127" t="s">
        <v>133</v>
      </c>
      <c r="I38" s="128">
        <v>132937322</v>
      </c>
    </row>
    <row r="39" spans="1:9" ht="47.25" x14ac:dyDescent="0.25">
      <c r="A39" s="67" t="s">
        <v>181</v>
      </c>
      <c r="B39" s="68" t="s">
        <v>222</v>
      </c>
      <c r="C39" s="68" t="s">
        <v>49</v>
      </c>
      <c r="D39" s="68" t="s">
        <v>129</v>
      </c>
      <c r="E39" s="68" t="s">
        <v>84</v>
      </c>
      <c r="F39" s="68" t="s">
        <v>55</v>
      </c>
      <c r="G39" s="68" t="s">
        <v>90</v>
      </c>
      <c r="H39" s="127" t="s">
        <v>130</v>
      </c>
      <c r="I39" s="128">
        <v>20000000</v>
      </c>
    </row>
    <row r="41" spans="1:9" x14ac:dyDescent="0.25">
      <c r="I41" s="133">
        <f>SUM(I2:I40)</f>
        <v>3386088385</v>
      </c>
    </row>
  </sheetData>
  <autoFilter ref="I1:I35" xr:uid="{00000000-0009-0000-0000-000004000000}"/>
  <printOptions horizontalCentered="1" gridLines="1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O27"/>
  <sheetViews>
    <sheetView workbookViewId="0">
      <selection activeCell="L20" sqref="L20"/>
    </sheetView>
  </sheetViews>
  <sheetFormatPr defaultRowHeight="15.75" x14ac:dyDescent="0.25"/>
  <cols>
    <col min="1" max="1" width="12" customWidth="1"/>
    <col min="2" max="2" width="15.21875" customWidth="1"/>
    <col min="3" max="4" width="8.88671875" hidden="1" customWidth="1"/>
    <col min="5" max="5" width="7" customWidth="1"/>
    <col min="6" max="8" width="4" customWidth="1"/>
    <col min="9" max="9" width="8.88671875" hidden="1" customWidth="1"/>
    <col min="10" max="10" width="12.77734375" customWidth="1"/>
    <col min="11" max="11" width="14.88671875" customWidth="1"/>
    <col min="12" max="12" width="13.6640625" customWidth="1"/>
    <col min="13" max="13" width="15" customWidth="1"/>
  </cols>
  <sheetData>
    <row r="1" spans="1:15" x14ac:dyDescent="0.25">
      <c r="A1" s="26" t="s">
        <v>110</v>
      </c>
      <c r="B1" s="5">
        <f>J27</f>
        <v>81503422</v>
      </c>
      <c r="K1" s="2">
        <v>4216</v>
      </c>
      <c r="L1" s="2" t="s">
        <v>27</v>
      </c>
      <c r="M1" s="35">
        <f>J13</f>
        <v>4600000</v>
      </c>
      <c r="N1" s="2">
        <f>ROUND(M1/100000,2)</f>
        <v>46</v>
      </c>
      <c r="O1" s="2">
        <f>ROUND(N1/100,2)</f>
        <v>0.46</v>
      </c>
    </row>
    <row r="2" spans="1:15" x14ac:dyDescent="0.25">
      <c r="A2" s="26" t="s">
        <v>109</v>
      </c>
      <c r="B2" s="35">
        <v>64822545</v>
      </c>
      <c r="K2" s="2">
        <v>4408</v>
      </c>
      <c r="L2" s="2" t="s">
        <v>111</v>
      </c>
      <c r="M2" s="35">
        <f>J17</f>
        <v>2284570</v>
      </c>
      <c r="N2" s="2">
        <f t="shared" ref="N2:N11" si="0">ROUND(M2/100000,2)</f>
        <v>22.85</v>
      </c>
      <c r="O2" s="2">
        <f t="shared" ref="O2:O11" si="1">ROUND(N2/100,2)</f>
        <v>0.23</v>
      </c>
    </row>
    <row r="3" spans="1:15" x14ac:dyDescent="0.25">
      <c r="A3" s="26" t="s">
        <v>29</v>
      </c>
      <c r="B3" s="35">
        <v>8656700</v>
      </c>
      <c r="K3" s="2">
        <v>4851</v>
      </c>
      <c r="L3" s="2" t="s">
        <v>28</v>
      </c>
      <c r="M3" s="35">
        <f>J18+J19+J20+J21+J22+J23</f>
        <v>30234510</v>
      </c>
      <c r="N3" s="2">
        <f t="shared" si="0"/>
        <v>302.35000000000002</v>
      </c>
      <c r="O3" s="2">
        <f t="shared" si="1"/>
        <v>3.02</v>
      </c>
    </row>
    <row r="4" spans="1:15" x14ac:dyDescent="0.25">
      <c r="A4" s="26"/>
      <c r="B4" s="19">
        <f>SUM(B1:B3)</f>
        <v>154982667</v>
      </c>
      <c r="K4" s="2" t="s">
        <v>29</v>
      </c>
      <c r="L4" s="2" t="s">
        <v>112</v>
      </c>
      <c r="M4" s="78">
        <v>8656700</v>
      </c>
      <c r="N4" s="2">
        <f t="shared" si="0"/>
        <v>86.57</v>
      </c>
      <c r="O4" s="2">
        <f t="shared" si="1"/>
        <v>0.87</v>
      </c>
    </row>
    <row r="5" spans="1:15" x14ac:dyDescent="0.25">
      <c r="K5" s="2" t="s">
        <v>31</v>
      </c>
      <c r="L5" s="2" t="s">
        <v>113</v>
      </c>
      <c r="M5" s="78"/>
      <c r="N5" s="2">
        <f t="shared" si="0"/>
        <v>0</v>
      </c>
      <c r="O5" s="2">
        <f t="shared" si="1"/>
        <v>0</v>
      </c>
    </row>
    <row r="6" spans="1:15" x14ac:dyDescent="0.25">
      <c r="K6" s="2" t="s">
        <v>32</v>
      </c>
      <c r="L6" s="2" t="s">
        <v>114</v>
      </c>
      <c r="M6" s="78">
        <v>3376094</v>
      </c>
      <c r="N6" s="2">
        <f t="shared" si="0"/>
        <v>33.76</v>
      </c>
      <c r="O6" s="2">
        <f t="shared" si="1"/>
        <v>0.34</v>
      </c>
    </row>
    <row r="7" spans="1:15" x14ac:dyDescent="0.25">
      <c r="K7" s="2">
        <v>4405</v>
      </c>
      <c r="L7" s="2" t="s">
        <v>116</v>
      </c>
      <c r="M7" s="35"/>
      <c r="N7" s="2">
        <f t="shared" si="0"/>
        <v>0</v>
      </c>
      <c r="O7" s="2">
        <f t="shared" si="1"/>
        <v>0</v>
      </c>
    </row>
    <row r="8" spans="1:15" x14ac:dyDescent="0.25">
      <c r="K8" s="2">
        <v>4860</v>
      </c>
      <c r="L8" s="2" t="s">
        <v>117</v>
      </c>
      <c r="M8" s="35">
        <f>J24</f>
        <v>3500000</v>
      </c>
      <c r="N8" s="2">
        <f t="shared" si="0"/>
        <v>35</v>
      </c>
      <c r="O8" s="2">
        <f t="shared" si="1"/>
        <v>0.35</v>
      </c>
    </row>
    <row r="9" spans="1:15" x14ac:dyDescent="0.25">
      <c r="K9" s="2">
        <v>4404</v>
      </c>
      <c r="L9" s="2" t="s">
        <v>118</v>
      </c>
      <c r="M9" s="35">
        <f>J15+J16</f>
        <v>29884342</v>
      </c>
      <c r="N9" s="2">
        <f t="shared" si="0"/>
        <v>298.83999999999997</v>
      </c>
      <c r="O9" s="2">
        <f t="shared" si="1"/>
        <v>2.99</v>
      </c>
    </row>
    <row r="10" spans="1:15" x14ac:dyDescent="0.25">
      <c r="K10" s="2">
        <v>4225</v>
      </c>
      <c r="L10" s="2"/>
      <c r="M10" s="35">
        <f>J14</f>
        <v>11000000</v>
      </c>
      <c r="N10" s="2">
        <f t="shared" si="0"/>
        <v>110</v>
      </c>
      <c r="O10" s="2">
        <f t="shared" si="1"/>
        <v>1.1000000000000001</v>
      </c>
    </row>
    <row r="11" spans="1:15" x14ac:dyDescent="0.25">
      <c r="K11" s="29">
        <v>4425</v>
      </c>
      <c r="L11" s="2" t="s">
        <v>115</v>
      </c>
      <c r="M11" s="35">
        <f>B2-M6</f>
        <v>61446451</v>
      </c>
      <c r="N11" s="2">
        <f t="shared" si="0"/>
        <v>614.46</v>
      </c>
      <c r="O11" s="2">
        <f t="shared" si="1"/>
        <v>6.14</v>
      </c>
    </row>
    <row r="12" spans="1:15" x14ac:dyDescent="0.25">
      <c r="M12" s="37">
        <f>SUM(M1:M11)</f>
        <v>154982667</v>
      </c>
      <c r="N12" s="19">
        <f>SUM(N1:N11)</f>
        <v>1549.83</v>
      </c>
      <c r="O12" s="19">
        <f>SUM(O1:O11)</f>
        <v>15.5</v>
      </c>
    </row>
    <row r="13" spans="1:15" ht="31.5" x14ac:dyDescent="0.25">
      <c r="C13" s="68" t="s">
        <v>222</v>
      </c>
      <c r="D13" s="68" t="s">
        <v>49</v>
      </c>
      <c r="E13" s="68" t="s">
        <v>213</v>
      </c>
      <c r="F13" s="68" t="s">
        <v>183</v>
      </c>
      <c r="G13" s="68" t="s">
        <v>187</v>
      </c>
      <c r="H13" s="68" t="s">
        <v>56</v>
      </c>
      <c r="I13" s="127" t="s">
        <v>97</v>
      </c>
      <c r="J13" s="128">
        <v>4600000</v>
      </c>
    </row>
    <row r="14" spans="1:15" ht="20.25" customHeight="1" x14ac:dyDescent="0.25">
      <c r="C14" s="68" t="s">
        <v>222</v>
      </c>
      <c r="D14" s="68" t="s">
        <v>49</v>
      </c>
      <c r="E14" s="68" t="s">
        <v>63</v>
      </c>
      <c r="F14" s="68" t="s">
        <v>183</v>
      </c>
      <c r="G14" s="68" t="s">
        <v>187</v>
      </c>
      <c r="H14" s="68" t="s">
        <v>56</v>
      </c>
      <c r="I14" s="127" t="s">
        <v>98</v>
      </c>
      <c r="J14" s="128">
        <v>11000000</v>
      </c>
    </row>
    <row r="15" spans="1:15" ht="15.75" customHeight="1" x14ac:dyDescent="0.25">
      <c r="C15" s="68" t="s">
        <v>222</v>
      </c>
      <c r="D15" s="68" t="s">
        <v>49</v>
      </c>
      <c r="E15" s="68" t="s">
        <v>214</v>
      </c>
      <c r="F15" s="68" t="s">
        <v>70</v>
      </c>
      <c r="G15" s="68" t="s">
        <v>187</v>
      </c>
      <c r="H15" s="68" t="s">
        <v>66</v>
      </c>
      <c r="I15" s="127" t="s">
        <v>135</v>
      </c>
      <c r="J15" s="128">
        <v>15220228</v>
      </c>
    </row>
    <row r="16" spans="1:15" ht="21" customHeight="1" x14ac:dyDescent="0.25">
      <c r="C16" s="68" t="s">
        <v>222</v>
      </c>
      <c r="D16" s="68" t="s">
        <v>49</v>
      </c>
      <c r="E16" s="68" t="s">
        <v>214</v>
      </c>
      <c r="F16" s="68" t="s">
        <v>70</v>
      </c>
      <c r="G16" s="68" t="s">
        <v>187</v>
      </c>
      <c r="H16" s="68" t="s">
        <v>58</v>
      </c>
      <c r="I16" s="127" t="s">
        <v>99</v>
      </c>
      <c r="J16" s="128">
        <v>14664114</v>
      </c>
      <c r="K16" s="36">
        <f>J15+J16</f>
        <v>29884342</v>
      </c>
    </row>
    <row r="17" spans="3:13" ht="24" customHeight="1" x14ac:dyDescent="0.25">
      <c r="C17" s="68" t="s">
        <v>222</v>
      </c>
      <c r="D17" s="68" t="s">
        <v>49</v>
      </c>
      <c r="E17" s="68" t="s">
        <v>100</v>
      </c>
      <c r="F17" s="68" t="s">
        <v>61</v>
      </c>
      <c r="G17" s="68" t="s">
        <v>187</v>
      </c>
      <c r="H17" s="68" t="s">
        <v>185</v>
      </c>
      <c r="I17" s="127" t="s">
        <v>101</v>
      </c>
      <c r="J17" s="128">
        <v>2284570</v>
      </c>
    </row>
    <row r="18" spans="3:13" ht="20.25" customHeight="1" x14ac:dyDescent="0.25">
      <c r="C18" s="68" t="s">
        <v>222</v>
      </c>
      <c r="D18" s="68" t="s">
        <v>49</v>
      </c>
      <c r="E18" s="68" t="s">
        <v>77</v>
      </c>
      <c r="F18" s="68" t="s">
        <v>70</v>
      </c>
      <c r="G18" s="68" t="s">
        <v>187</v>
      </c>
      <c r="H18" s="68" t="s">
        <v>137</v>
      </c>
      <c r="I18" s="127" t="s">
        <v>136</v>
      </c>
      <c r="J18" s="128">
        <v>-50000</v>
      </c>
    </row>
    <row r="19" spans="3:13" ht="17.25" customHeight="1" x14ac:dyDescent="0.25">
      <c r="C19" s="68" t="s">
        <v>222</v>
      </c>
      <c r="D19" s="68" t="s">
        <v>49</v>
      </c>
      <c r="E19" s="68" t="s">
        <v>77</v>
      </c>
      <c r="F19" s="68" t="s">
        <v>70</v>
      </c>
      <c r="G19" s="68" t="s">
        <v>187</v>
      </c>
      <c r="H19" s="68" t="s">
        <v>182</v>
      </c>
      <c r="I19" s="127" t="s">
        <v>105</v>
      </c>
      <c r="J19" s="128">
        <v>1198802</v>
      </c>
    </row>
    <row r="20" spans="3:13" ht="15" customHeight="1" x14ac:dyDescent="0.25">
      <c r="C20" s="68" t="s">
        <v>222</v>
      </c>
      <c r="D20" s="68" t="s">
        <v>49</v>
      </c>
      <c r="E20" s="68" t="s">
        <v>77</v>
      </c>
      <c r="F20" s="68" t="s">
        <v>70</v>
      </c>
      <c r="G20" s="68" t="s">
        <v>187</v>
      </c>
      <c r="H20" s="68" t="s">
        <v>184</v>
      </c>
      <c r="I20" s="127" t="s">
        <v>103</v>
      </c>
      <c r="J20" s="128">
        <v>1020000</v>
      </c>
      <c r="M20" s="34"/>
    </row>
    <row r="21" spans="3:13" ht="14.25" customHeight="1" x14ac:dyDescent="0.25">
      <c r="C21" s="68" t="s">
        <v>222</v>
      </c>
      <c r="D21" s="68" t="s">
        <v>49</v>
      </c>
      <c r="E21" s="68" t="s">
        <v>77</v>
      </c>
      <c r="F21" s="68" t="s">
        <v>70</v>
      </c>
      <c r="G21" s="68" t="s">
        <v>187</v>
      </c>
      <c r="H21" s="68" t="s">
        <v>82</v>
      </c>
      <c r="I21" s="127" t="s">
        <v>102</v>
      </c>
      <c r="J21" s="128">
        <v>5939600</v>
      </c>
    </row>
    <row r="22" spans="3:13" ht="15" customHeight="1" x14ac:dyDescent="0.25">
      <c r="C22" s="68" t="s">
        <v>222</v>
      </c>
      <c r="D22" s="68" t="s">
        <v>49</v>
      </c>
      <c r="E22" s="68" t="s">
        <v>77</v>
      </c>
      <c r="F22" s="68" t="s">
        <v>70</v>
      </c>
      <c r="G22" s="68" t="s">
        <v>187</v>
      </c>
      <c r="H22" s="68" t="s">
        <v>71</v>
      </c>
      <c r="I22" s="127" t="s">
        <v>104</v>
      </c>
      <c r="J22" s="128">
        <v>14575000</v>
      </c>
      <c r="K22" s="37"/>
    </row>
    <row r="23" spans="3:13" ht="17.25" customHeight="1" x14ac:dyDescent="0.25">
      <c r="C23" s="68" t="s">
        <v>222</v>
      </c>
      <c r="D23" s="68" t="s">
        <v>49</v>
      </c>
      <c r="E23" s="68" t="s">
        <v>77</v>
      </c>
      <c r="F23" s="68" t="s">
        <v>70</v>
      </c>
      <c r="G23" s="68" t="s">
        <v>187</v>
      </c>
      <c r="H23" s="68" t="s">
        <v>56</v>
      </c>
      <c r="I23" s="127" t="s">
        <v>215</v>
      </c>
      <c r="J23" s="128">
        <v>7551108</v>
      </c>
      <c r="K23" s="36">
        <f>J18+J19+J20+J21+J22+J23</f>
        <v>30234510</v>
      </c>
    </row>
    <row r="24" spans="3:13" ht="24.75" customHeight="1" x14ac:dyDescent="0.25">
      <c r="C24" s="68" t="s">
        <v>222</v>
      </c>
      <c r="D24" s="68" t="s">
        <v>49</v>
      </c>
      <c r="E24" s="68" t="s">
        <v>83</v>
      </c>
      <c r="F24" s="68" t="s">
        <v>64</v>
      </c>
      <c r="G24" s="68" t="s">
        <v>187</v>
      </c>
      <c r="H24" s="68" t="s">
        <v>106</v>
      </c>
      <c r="I24" s="127" t="s">
        <v>107</v>
      </c>
      <c r="J24" s="128">
        <v>3500000</v>
      </c>
      <c r="K24" s="20"/>
    </row>
    <row r="25" spans="3:13" ht="16.5" customHeight="1" x14ac:dyDescent="0.25">
      <c r="C25" s="69"/>
      <c r="D25" s="69"/>
      <c r="E25" s="70"/>
      <c r="F25" s="70"/>
      <c r="G25" s="70"/>
      <c r="H25" s="70"/>
      <c r="I25" s="71"/>
      <c r="J25" s="5"/>
    </row>
    <row r="27" spans="3:13" x14ac:dyDescent="0.25">
      <c r="J27" s="20">
        <f>SUM(J13:J26)</f>
        <v>81503422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E14"/>
  <sheetViews>
    <sheetView view="pageBreakPreview" zoomScaleSheetLayoutView="100" workbookViewId="0">
      <selection activeCell="E11" sqref="E11"/>
    </sheetView>
  </sheetViews>
  <sheetFormatPr defaultRowHeight="15.75" x14ac:dyDescent="0.25"/>
  <cols>
    <col min="2" max="2" width="15" customWidth="1"/>
    <col min="3" max="3" width="15.21875" customWidth="1"/>
  </cols>
  <sheetData>
    <row r="1" spans="1:5" ht="18.75" x14ac:dyDescent="0.3">
      <c r="A1" s="173" t="s">
        <v>245</v>
      </c>
      <c r="B1" s="173"/>
      <c r="C1" s="173"/>
      <c r="D1" s="173"/>
      <c r="E1" s="173"/>
    </row>
    <row r="2" spans="1:5" ht="18.75" x14ac:dyDescent="0.3">
      <c r="A2" s="30"/>
      <c r="B2" s="30"/>
      <c r="C2" s="30" t="s">
        <v>119</v>
      </c>
      <c r="D2" s="30" t="s">
        <v>120</v>
      </c>
      <c r="E2" s="30" t="s">
        <v>121</v>
      </c>
    </row>
    <row r="3" spans="1:5" x14ac:dyDescent="0.25">
      <c r="A3" s="2">
        <v>4216</v>
      </c>
      <c r="B3" s="2" t="s">
        <v>27</v>
      </c>
      <c r="C3" s="73">
        <v>4600000</v>
      </c>
      <c r="D3" s="2">
        <f>ROUND(C3/100000,2)</f>
        <v>46</v>
      </c>
      <c r="E3" s="2">
        <f>ROUND(D3/100,2)</f>
        <v>0.46</v>
      </c>
    </row>
    <row r="4" spans="1:5" x14ac:dyDescent="0.25">
      <c r="A4" s="2">
        <v>4408</v>
      </c>
      <c r="B4" s="2" t="s">
        <v>111</v>
      </c>
      <c r="C4" s="73">
        <v>2284570</v>
      </c>
      <c r="D4" s="2">
        <f t="shared" ref="D4:D13" si="0">ROUND(C4/100000,2)</f>
        <v>22.85</v>
      </c>
      <c r="E4" s="2">
        <f t="shared" ref="E4:E13" si="1">ROUND(D4/100,2)</f>
        <v>0.23</v>
      </c>
    </row>
    <row r="5" spans="1:5" x14ac:dyDescent="0.25">
      <c r="A5" s="2">
        <v>4851</v>
      </c>
      <c r="B5" s="2" t="s">
        <v>28</v>
      </c>
      <c r="C5" s="73">
        <v>30234510</v>
      </c>
      <c r="D5" s="2">
        <f t="shared" si="0"/>
        <v>302.35000000000002</v>
      </c>
      <c r="E5" s="2">
        <f t="shared" si="1"/>
        <v>3.02</v>
      </c>
    </row>
    <row r="6" spans="1:5" x14ac:dyDescent="0.25">
      <c r="A6" s="2" t="s">
        <v>29</v>
      </c>
      <c r="B6" s="2" t="s">
        <v>112</v>
      </c>
      <c r="C6" s="73">
        <v>8656700</v>
      </c>
      <c r="D6" s="2">
        <f t="shared" si="0"/>
        <v>86.57</v>
      </c>
      <c r="E6" s="2">
        <f t="shared" si="1"/>
        <v>0.87</v>
      </c>
    </row>
    <row r="7" spans="1:5" x14ac:dyDescent="0.25">
      <c r="A7" s="2" t="s">
        <v>31</v>
      </c>
      <c r="B7" s="2" t="s">
        <v>113</v>
      </c>
      <c r="C7" s="73"/>
      <c r="D7" s="2">
        <f t="shared" si="0"/>
        <v>0</v>
      </c>
      <c r="E7" s="2">
        <f t="shared" si="1"/>
        <v>0</v>
      </c>
    </row>
    <row r="8" spans="1:5" x14ac:dyDescent="0.25">
      <c r="A8" s="2" t="s">
        <v>32</v>
      </c>
      <c r="B8" s="2" t="s">
        <v>114</v>
      </c>
      <c r="C8" s="73">
        <v>3376094</v>
      </c>
      <c r="D8" s="2">
        <f t="shared" si="0"/>
        <v>33.76</v>
      </c>
      <c r="E8" s="2">
        <f t="shared" si="1"/>
        <v>0.34</v>
      </c>
    </row>
    <row r="9" spans="1:5" x14ac:dyDescent="0.25">
      <c r="A9" s="2">
        <v>4405</v>
      </c>
      <c r="B9" s="2" t="s">
        <v>116</v>
      </c>
      <c r="C9" s="73"/>
      <c r="D9" s="2">
        <f t="shared" si="0"/>
        <v>0</v>
      </c>
      <c r="E9" s="2">
        <f t="shared" si="1"/>
        <v>0</v>
      </c>
    </row>
    <row r="10" spans="1:5" x14ac:dyDescent="0.25">
      <c r="A10" s="2">
        <v>4860</v>
      </c>
      <c r="B10" s="2" t="s">
        <v>117</v>
      </c>
      <c r="C10" s="73">
        <v>3500000</v>
      </c>
      <c r="D10" s="2">
        <f t="shared" si="0"/>
        <v>35</v>
      </c>
      <c r="E10" s="2">
        <f t="shared" si="1"/>
        <v>0.35</v>
      </c>
    </row>
    <row r="11" spans="1:5" x14ac:dyDescent="0.25">
      <c r="A11" s="2">
        <v>4404</v>
      </c>
      <c r="B11" s="2" t="s">
        <v>118</v>
      </c>
      <c r="C11" s="73">
        <v>29884342</v>
      </c>
      <c r="D11" s="2">
        <f t="shared" si="0"/>
        <v>298.83999999999997</v>
      </c>
      <c r="E11" s="2">
        <f t="shared" si="1"/>
        <v>2.99</v>
      </c>
    </row>
    <row r="12" spans="1:5" x14ac:dyDescent="0.25">
      <c r="A12" s="2">
        <v>4225</v>
      </c>
      <c r="B12" s="2"/>
      <c r="C12" s="73">
        <v>11000000</v>
      </c>
      <c r="D12" s="2">
        <f t="shared" si="0"/>
        <v>110</v>
      </c>
      <c r="E12" s="2">
        <f t="shared" si="1"/>
        <v>1.1000000000000001</v>
      </c>
    </row>
    <row r="13" spans="1:5" x14ac:dyDescent="0.25">
      <c r="A13" s="2">
        <v>4425</v>
      </c>
      <c r="B13" s="2" t="s">
        <v>115</v>
      </c>
      <c r="C13" s="73">
        <v>61446451</v>
      </c>
      <c r="D13" s="2">
        <f t="shared" si="0"/>
        <v>614.46</v>
      </c>
      <c r="E13" s="2">
        <f t="shared" si="1"/>
        <v>6.14</v>
      </c>
    </row>
    <row r="14" spans="1:5" x14ac:dyDescent="0.25">
      <c r="C14" s="49">
        <f>SUM(C3:C13)</f>
        <v>154982667</v>
      </c>
      <c r="D14" s="50">
        <f>SUM(D3:D13)</f>
        <v>1549.83</v>
      </c>
      <c r="E14" s="50">
        <f>SUM(E3:E13)</f>
        <v>15.5</v>
      </c>
    </row>
  </sheetData>
  <mergeCells count="1">
    <mergeCell ref="A1:E1"/>
  </mergeCells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9"/>
  <sheetViews>
    <sheetView workbookViewId="0">
      <selection activeCell="B2" sqref="B2:D2"/>
    </sheetView>
  </sheetViews>
  <sheetFormatPr defaultColWidth="8.77734375" defaultRowHeight="15.75" x14ac:dyDescent="0.25"/>
  <cols>
    <col min="1" max="1" width="31.77734375" style="2" customWidth="1"/>
    <col min="2" max="2" width="14.5546875" style="120" bestFit="1" customWidth="1"/>
    <col min="3" max="3" width="12" style="2" customWidth="1"/>
    <col min="4" max="16384" width="8.77734375" style="2"/>
  </cols>
  <sheetData>
    <row r="1" spans="1:4" ht="16.5" thickBot="1" x14ac:dyDescent="0.3">
      <c r="A1" s="174" t="s">
        <v>259</v>
      </c>
      <c r="B1" s="175"/>
    </row>
    <row r="2" spans="1:4" x14ac:dyDescent="0.25">
      <c r="A2" s="1"/>
      <c r="B2" s="1" t="s">
        <v>270</v>
      </c>
      <c r="C2" s="143" t="s">
        <v>271</v>
      </c>
      <c r="D2" s="143" t="s">
        <v>272</v>
      </c>
    </row>
    <row r="3" spans="1:4" x14ac:dyDescent="0.25">
      <c r="A3" s="2" t="s">
        <v>255</v>
      </c>
      <c r="B3" s="120">
        <v>2058229369</v>
      </c>
      <c r="C3" s="2">
        <f>ROUND(B3/100000,2)</f>
        <v>20582.29</v>
      </c>
      <c r="D3" s="2">
        <f>ROUND(B3/10000000,2)</f>
        <v>205.82</v>
      </c>
    </row>
    <row r="4" spans="1:4" x14ac:dyDescent="0.25">
      <c r="A4" s="2" t="s">
        <v>256</v>
      </c>
      <c r="B4" s="120">
        <v>297593432</v>
      </c>
      <c r="C4" s="2">
        <f t="shared" ref="C4:C9" si="0">ROUND(B4/100000,2)</f>
        <v>2975.93</v>
      </c>
      <c r="D4" s="2">
        <f t="shared" ref="D4:D9" si="1">ROUND(B4/10000000,2)</f>
        <v>29.76</v>
      </c>
    </row>
    <row r="5" spans="1:4" x14ac:dyDescent="0.25">
      <c r="A5" s="2" t="s">
        <v>257</v>
      </c>
      <c r="D5" s="2">
        <f t="shared" si="1"/>
        <v>0</v>
      </c>
    </row>
    <row r="6" spans="1:4" x14ac:dyDescent="0.25">
      <c r="A6" s="29" t="s">
        <v>112</v>
      </c>
      <c r="B6" s="120">
        <v>217131</v>
      </c>
      <c r="C6" s="2">
        <f t="shared" si="0"/>
        <v>2.17</v>
      </c>
      <c r="D6" s="2">
        <f t="shared" si="1"/>
        <v>0.02</v>
      </c>
    </row>
    <row r="7" spans="1:4" x14ac:dyDescent="0.25">
      <c r="A7" s="29" t="s">
        <v>258</v>
      </c>
      <c r="B7" s="120">
        <f>65379876-15625</f>
        <v>65364251</v>
      </c>
      <c r="C7" s="2">
        <f t="shared" si="0"/>
        <v>653.64</v>
      </c>
      <c r="D7" s="2">
        <f t="shared" si="1"/>
        <v>6.54</v>
      </c>
    </row>
    <row r="8" spans="1:4" x14ac:dyDescent="0.25">
      <c r="A8" s="29" t="s">
        <v>27</v>
      </c>
      <c r="B8" s="120">
        <v>5413419</v>
      </c>
      <c r="C8" s="2">
        <f>ROUNDUP(B8/100000,2)</f>
        <v>54.14</v>
      </c>
      <c r="D8" s="2">
        <f t="shared" si="1"/>
        <v>0.54</v>
      </c>
    </row>
    <row r="9" spans="1:4" x14ac:dyDescent="0.25">
      <c r="B9" s="141">
        <f>SUM(B3:B8)</f>
        <v>2426817602</v>
      </c>
      <c r="C9" s="19">
        <f t="shared" si="0"/>
        <v>24268.18</v>
      </c>
      <c r="D9" s="19">
        <f t="shared" si="1"/>
        <v>242.68</v>
      </c>
    </row>
  </sheetData>
  <mergeCells count="1">
    <mergeCell ref="A1:B1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F9"/>
  <sheetViews>
    <sheetView view="pageBreakPreview" zoomScaleSheetLayoutView="100" workbookViewId="0">
      <selection activeCell="E12" sqref="E12"/>
    </sheetView>
  </sheetViews>
  <sheetFormatPr defaultRowHeight="15.75" x14ac:dyDescent="0.25"/>
  <cols>
    <col min="2" max="2" width="15.77734375" customWidth="1"/>
    <col min="4" max="4" width="11.33203125" customWidth="1"/>
  </cols>
  <sheetData>
    <row r="1" spans="1:6" ht="23.25" customHeight="1" x14ac:dyDescent="0.25">
      <c r="A1" s="150" t="s">
        <v>246</v>
      </c>
      <c r="B1" s="150"/>
      <c r="C1" s="150"/>
      <c r="D1" s="150"/>
      <c r="E1" s="150"/>
      <c r="F1" s="150"/>
    </row>
    <row r="2" spans="1:6" ht="23.25" customHeight="1" x14ac:dyDescent="0.25">
      <c r="A2" s="1"/>
      <c r="B2" s="1"/>
      <c r="C2" s="1"/>
      <c r="D2" s="1" t="s">
        <v>270</v>
      </c>
      <c r="E2" s="143" t="s">
        <v>271</v>
      </c>
      <c r="F2" s="143" t="s">
        <v>272</v>
      </c>
    </row>
    <row r="3" spans="1:6" x14ac:dyDescent="0.25">
      <c r="A3" s="2">
        <v>4216</v>
      </c>
      <c r="B3" s="2" t="s">
        <v>27</v>
      </c>
      <c r="C3" s="19"/>
      <c r="D3" s="32">
        <v>35848772</v>
      </c>
      <c r="E3" s="5">
        <f t="shared" ref="E3:E8" si="0">ROUND(D3/100000,2)</f>
        <v>358.49</v>
      </c>
      <c r="F3" s="5">
        <f t="shared" ref="F3:F8" si="1">ROUND(D3/10000000,2)</f>
        <v>3.58</v>
      </c>
    </row>
    <row r="4" spans="1:6" x14ac:dyDescent="0.25">
      <c r="A4" s="2">
        <v>4851</v>
      </c>
      <c r="B4" s="2" t="s">
        <v>28</v>
      </c>
      <c r="C4" s="19"/>
      <c r="D4" s="32">
        <v>35585460</v>
      </c>
      <c r="E4" s="5">
        <f t="shared" si="0"/>
        <v>355.85</v>
      </c>
      <c r="F4" s="5">
        <f t="shared" si="1"/>
        <v>3.56</v>
      </c>
    </row>
    <row r="5" spans="1:6" x14ac:dyDescent="0.25">
      <c r="A5" s="2">
        <v>4425</v>
      </c>
      <c r="B5" s="2" t="s">
        <v>30</v>
      </c>
      <c r="C5" s="19"/>
      <c r="D5" s="32">
        <v>11969746</v>
      </c>
      <c r="E5" s="5">
        <f>ROUND(D5/100000,2)</f>
        <v>119.7</v>
      </c>
      <c r="F5" s="5">
        <f t="shared" si="1"/>
        <v>1.2</v>
      </c>
    </row>
    <row r="6" spans="1:6" x14ac:dyDescent="0.25">
      <c r="A6" s="2">
        <v>4408</v>
      </c>
      <c r="B6" s="2" t="s">
        <v>36</v>
      </c>
      <c r="C6" s="19"/>
      <c r="D6" s="32">
        <v>2211579</v>
      </c>
      <c r="E6" s="5">
        <f t="shared" si="0"/>
        <v>22.12</v>
      </c>
      <c r="F6" s="5">
        <f t="shared" si="1"/>
        <v>0.22</v>
      </c>
    </row>
    <row r="7" spans="1:6" x14ac:dyDescent="0.25">
      <c r="A7" s="2">
        <v>4425</v>
      </c>
      <c r="B7" s="2" t="s">
        <v>33</v>
      </c>
      <c r="C7" s="19"/>
      <c r="D7" s="32">
        <v>3176946</v>
      </c>
      <c r="E7" s="5">
        <f t="shared" si="0"/>
        <v>31.77</v>
      </c>
      <c r="F7" s="5">
        <f t="shared" si="1"/>
        <v>0.32</v>
      </c>
    </row>
    <row r="8" spans="1:6" x14ac:dyDescent="0.25">
      <c r="A8" s="2">
        <v>4425</v>
      </c>
      <c r="B8" s="2" t="s">
        <v>34</v>
      </c>
      <c r="C8" s="19"/>
      <c r="D8" s="32">
        <v>386282298</v>
      </c>
      <c r="E8" s="5">
        <f t="shared" si="0"/>
        <v>3862.82</v>
      </c>
      <c r="F8" s="5">
        <f t="shared" si="1"/>
        <v>38.630000000000003</v>
      </c>
    </row>
    <row r="9" spans="1:6" x14ac:dyDescent="0.25">
      <c r="A9" s="2"/>
      <c r="B9" s="19" t="s">
        <v>138</v>
      </c>
      <c r="C9" s="19"/>
      <c r="D9" s="33">
        <f>D3+D4+D5+D6+D7+D8</f>
        <v>475074801</v>
      </c>
      <c r="E9" s="21">
        <f>SUM(E3:E8)</f>
        <v>4750.75</v>
      </c>
      <c r="F9" s="21">
        <f>F3+F4+F5+F6+F7+F8</f>
        <v>47.510000000000005</v>
      </c>
    </row>
  </sheetData>
  <mergeCells count="1">
    <mergeCell ref="A1:F1"/>
  </mergeCells>
  <printOptions horizontalCentered="1"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STT8</vt:lpstr>
      <vt:lpstr>Exclusion</vt:lpstr>
      <vt:lpstr>Sheet2</vt:lpstr>
      <vt:lpstr>Working Sheet</vt:lpstr>
      <vt:lpstr>Invt details</vt:lpstr>
      <vt:lpstr>CO OP</vt:lpstr>
      <vt:lpstr>CO OP consolidated</vt:lpstr>
      <vt:lpstr>Dividend</vt:lpstr>
      <vt:lpstr>Proforma_ Coop</vt:lpstr>
      <vt:lpstr>Proforma</vt:lpstr>
      <vt:lpstr>Sheet3</vt:lpstr>
      <vt:lpstr>Exclusion!Print_Area</vt:lpstr>
      <vt:lpstr>Sheet2!Print_Area</vt:lpstr>
      <vt:lpstr>'STT8'!Print_Area</vt:lpstr>
      <vt:lpstr>'Working Sheet'!Print_Area</vt:lpstr>
      <vt:lpstr>'Invt details'!Print_Titles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 AAD</dc:creator>
  <cp:lastModifiedBy>State Accounts Kerala ID 8</cp:lastModifiedBy>
  <cp:lastPrinted>2024-08-01T07:48:51Z</cp:lastPrinted>
  <dcterms:created xsi:type="dcterms:W3CDTF">2002-07-11T06:12:49Z</dcterms:created>
  <dcterms:modified xsi:type="dcterms:W3CDTF">2024-08-01T07:49:01Z</dcterms:modified>
</cp:coreProperties>
</file>